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ong\Downloads\"/>
    </mc:Choice>
  </mc:AlternateContent>
  <bookViews>
    <workbookView xWindow="0" yWindow="0" windowWidth="20490" windowHeight="7155" activeTab="1"/>
  </bookViews>
  <sheets>
    <sheet name="T11.2016" sheetId="46" r:id="rId1"/>
    <sheet name="T12.2016" sheetId="47" r:id="rId2"/>
  </sheets>
  <definedNames>
    <definedName name="_xlnm.Print_Area" localSheetId="0">T11.2016!$A$3:$Y$34</definedName>
    <definedName name="_xlnm.Print_Area" localSheetId="1">T12.2016!$A$3:$Y$34</definedName>
  </definedNames>
  <calcPr calcId="152511"/>
</workbook>
</file>

<file path=xl/calcChain.xml><?xml version="1.0" encoding="utf-8"?>
<calcChain xmlns="http://schemas.openxmlformats.org/spreadsheetml/2006/main">
  <c r="AE11" i="47" l="1"/>
  <c r="Q13" i="47"/>
  <c r="I16" i="47"/>
  <c r="K16" i="47" s="1"/>
  <c r="I15" i="47"/>
  <c r="K15" i="47" s="1"/>
  <c r="N15" i="47" s="1"/>
  <c r="V15" i="47" s="1"/>
  <c r="K14" i="47"/>
  <c r="N14" i="47" s="1"/>
  <c r="K13" i="47"/>
  <c r="K12" i="47"/>
  <c r="K11" i="47"/>
  <c r="K10" i="47"/>
  <c r="Q25" i="47"/>
  <c r="O25" i="47"/>
  <c r="E25" i="47"/>
  <c r="U24" i="47"/>
  <c r="I24" i="47"/>
  <c r="K24" i="47" s="1"/>
  <c r="N24" i="47" s="1"/>
  <c r="V24" i="47" s="1"/>
  <c r="U23" i="47"/>
  <c r="P23" i="47"/>
  <c r="K23" i="47"/>
  <c r="N23" i="47" s="1"/>
  <c r="U22" i="47"/>
  <c r="S22" i="47"/>
  <c r="P22" i="47"/>
  <c r="M22" i="47"/>
  <c r="I22" i="47"/>
  <c r="K22" i="47" s="1"/>
  <c r="N22" i="47" s="1"/>
  <c r="U21" i="47"/>
  <c r="P21" i="47"/>
  <c r="M21" i="47"/>
  <c r="I21" i="47"/>
  <c r="K21" i="47" s="1"/>
  <c r="AA21" i="47" s="1"/>
  <c r="AC21" i="47" s="1"/>
  <c r="U20" i="47"/>
  <c r="P20" i="47"/>
  <c r="M20" i="47"/>
  <c r="I20" i="47"/>
  <c r="K20" i="47" s="1"/>
  <c r="N20" i="47" s="1"/>
  <c r="AH19" i="47"/>
  <c r="U19" i="47"/>
  <c r="S19" i="47"/>
  <c r="P19" i="47"/>
  <c r="M19" i="47"/>
  <c r="I19" i="47"/>
  <c r="K19" i="47" s="1"/>
  <c r="U18" i="47"/>
  <c r="S18" i="47"/>
  <c r="P18" i="47"/>
  <c r="M18" i="47"/>
  <c r="I18" i="47"/>
  <c r="K18" i="47" s="1"/>
  <c r="U17" i="47"/>
  <c r="S17" i="47"/>
  <c r="P17" i="47"/>
  <c r="M17" i="47"/>
  <c r="I17" i="47"/>
  <c r="K17" i="47" s="1"/>
  <c r="U16" i="47"/>
  <c r="S16" i="47"/>
  <c r="P16" i="47"/>
  <c r="M16" i="47"/>
  <c r="AD15" i="47"/>
  <c r="U15" i="47"/>
  <c r="S15" i="47"/>
  <c r="P15" i="47"/>
  <c r="M15" i="47"/>
  <c r="U14" i="47"/>
  <c r="P14" i="47"/>
  <c r="AC13" i="47"/>
  <c r="U13" i="47"/>
  <c r="P13" i="47"/>
  <c r="N13" i="47"/>
  <c r="AC12" i="47"/>
  <c r="AA12" i="47"/>
  <c r="AA14" i="47" s="1"/>
  <c r="U12" i="47"/>
  <c r="P12" i="47"/>
  <c r="N12" i="47"/>
  <c r="V12" i="47" s="1"/>
  <c r="AC11" i="47"/>
  <c r="U11" i="47"/>
  <c r="P11" i="47"/>
  <c r="N11" i="47"/>
  <c r="V11" i="47" s="1"/>
  <c r="AC10" i="47"/>
  <c r="U10" i="47"/>
  <c r="S10" i="47"/>
  <c r="P10" i="47"/>
  <c r="N10" i="47"/>
  <c r="AC7" i="47"/>
  <c r="AC5" i="47"/>
  <c r="AC4" i="47"/>
  <c r="P17" i="46"/>
  <c r="P16" i="46"/>
  <c r="I24" i="46"/>
  <c r="P15" i="46"/>
  <c r="P14" i="46"/>
  <c r="P13" i="46"/>
  <c r="P12" i="46"/>
  <c r="P11" i="46"/>
  <c r="P21" i="46"/>
  <c r="P20" i="46"/>
  <c r="P19" i="46"/>
  <c r="P18" i="46"/>
  <c r="I22" i="46"/>
  <c r="I16" i="46"/>
  <c r="I15" i="46"/>
  <c r="S10" i="46"/>
  <c r="V13" i="47" l="1"/>
  <c r="V20" i="47"/>
  <c r="V22" i="47"/>
  <c r="U25" i="47"/>
  <c r="V23" i="47"/>
  <c r="V10" i="47"/>
  <c r="AC14" i="47"/>
  <c r="N17" i="47"/>
  <c r="V17" i="47" s="1"/>
  <c r="AC8" i="47"/>
  <c r="S25" i="47"/>
  <c r="M25" i="47"/>
  <c r="V14" i="47"/>
  <c r="P25" i="47"/>
  <c r="N21" i="47"/>
  <c r="N19" i="47"/>
  <c r="V19" i="47" s="1"/>
  <c r="N18" i="47"/>
  <c r="V18" i="47" s="1"/>
  <c r="N16" i="47"/>
  <c r="V16" i="47" s="1"/>
  <c r="T21" i="47"/>
  <c r="T25" i="47" s="1"/>
  <c r="K25" i="47"/>
  <c r="V26" i="46"/>
  <c r="Q25" i="46"/>
  <c r="O25" i="46"/>
  <c r="E25" i="46"/>
  <c r="U24" i="46"/>
  <c r="K24" i="46"/>
  <c r="N24" i="46" s="1"/>
  <c r="U23" i="46"/>
  <c r="P23" i="46"/>
  <c r="K23" i="46"/>
  <c r="N23" i="46" s="1"/>
  <c r="V23" i="46" s="1"/>
  <c r="U22" i="46"/>
  <c r="S22" i="46"/>
  <c r="P22" i="46"/>
  <c r="M22" i="46"/>
  <c r="K22" i="46"/>
  <c r="U21" i="46"/>
  <c r="M21" i="46"/>
  <c r="I21" i="46"/>
  <c r="K21" i="46" s="1"/>
  <c r="U20" i="46"/>
  <c r="M20" i="46"/>
  <c r="I20" i="46"/>
  <c r="AH19" i="46"/>
  <c r="U19" i="46"/>
  <c r="S19" i="46"/>
  <c r="M19" i="46"/>
  <c r="I19" i="46"/>
  <c r="K19" i="46" s="1"/>
  <c r="N19" i="46" s="1"/>
  <c r="U18" i="46"/>
  <c r="S18" i="46"/>
  <c r="M18" i="46"/>
  <c r="I18" i="46"/>
  <c r="U17" i="46"/>
  <c r="S17" i="46"/>
  <c r="M17" i="46"/>
  <c r="I17" i="46"/>
  <c r="K17" i="46" s="1"/>
  <c r="N17" i="46" s="1"/>
  <c r="V17" i="46" s="1"/>
  <c r="U16" i="46"/>
  <c r="S16" i="46"/>
  <c r="S25" i="46" s="1"/>
  <c r="M16" i="46"/>
  <c r="K16" i="46"/>
  <c r="N16" i="46" s="1"/>
  <c r="V16" i="46" s="1"/>
  <c r="AD15" i="46"/>
  <c r="U15" i="46"/>
  <c r="S15" i="46"/>
  <c r="M15" i="46"/>
  <c r="M25" i="46" s="1"/>
  <c r="K15" i="46"/>
  <c r="U14" i="46"/>
  <c r="K14" i="46"/>
  <c r="N14" i="46" s="1"/>
  <c r="AC13" i="46"/>
  <c r="U13" i="46"/>
  <c r="K13" i="46"/>
  <c r="N13" i="46" s="1"/>
  <c r="V13" i="46" s="1"/>
  <c r="AA12" i="46"/>
  <c r="AA14" i="46" s="1"/>
  <c r="U12" i="46"/>
  <c r="K12" i="46"/>
  <c r="N12" i="46" s="1"/>
  <c r="AC11" i="46"/>
  <c r="U11" i="46"/>
  <c r="K11" i="46"/>
  <c r="N11" i="46" s="1"/>
  <c r="V11" i="46" s="1"/>
  <c r="AC10" i="46"/>
  <c r="U10" i="46"/>
  <c r="P10" i="46"/>
  <c r="K10" i="46"/>
  <c r="N10" i="46" s="1"/>
  <c r="V10" i="46" s="1"/>
  <c r="AC7" i="46"/>
  <c r="AC5" i="46"/>
  <c r="AC4" i="46"/>
  <c r="V12" i="46" l="1"/>
  <c r="V21" i="47"/>
  <c r="AC12" i="46"/>
  <c r="N15" i="46"/>
  <c r="V15" i="46" s="1"/>
  <c r="N22" i="46"/>
  <c r="V22" i="46" s="1"/>
  <c r="V24" i="46"/>
  <c r="K18" i="46"/>
  <c r="N18" i="46" s="1"/>
  <c r="V18" i="46" s="1"/>
  <c r="V25" i="47"/>
  <c r="AC14" i="46"/>
  <c r="AC8" i="46"/>
  <c r="K20" i="46"/>
  <c r="N20" i="46" s="1"/>
  <c r="V20" i="46" s="1"/>
  <c r="N25" i="47"/>
  <c r="Z25" i="47" s="1"/>
  <c r="V14" i="46"/>
  <c r="U25" i="46"/>
  <c r="S27" i="46" s="1"/>
  <c r="V19" i="46"/>
  <c r="P25" i="46"/>
  <c r="N21" i="46"/>
  <c r="N38" i="46" s="1"/>
  <c r="AA21" i="46"/>
  <c r="AC21" i="46" s="1"/>
  <c r="K25" i="46" l="1"/>
  <c r="AA25" i="47"/>
  <c r="T21" i="46"/>
  <c r="T25" i="46" s="1"/>
  <c r="N25" i="46"/>
  <c r="Z25" i="46" l="1"/>
  <c r="T36" i="46"/>
  <c r="V21" i="46"/>
  <c r="N36" i="46" l="1"/>
  <c r="V25" i="46"/>
  <c r="AA25" i="46" s="1"/>
  <c r="N37" i="46"/>
</calcChain>
</file>

<file path=xl/sharedStrings.xml><?xml version="1.0" encoding="utf-8"?>
<sst xmlns="http://schemas.openxmlformats.org/spreadsheetml/2006/main" count="117" uniqueCount="58">
  <si>
    <t>BẢNG THANH TOÁN LƯƠNG</t>
  </si>
  <si>
    <t>TT</t>
  </si>
  <si>
    <t>Họ và tên</t>
  </si>
  <si>
    <t>Chức vụ</t>
  </si>
  <si>
    <t>Ăn trưa</t>
  </si>
  <si>
    <t>Ký nhận</t>
  </si>
  <si>
    <t>Thuế TNCN</t>
  </si>
  <si>
    <t>NV lái xe</t>
  </si>
  <si>
    <t>Tổng cộng</t>
  </si>
  <si>
    <t>Kế toán trưởng</t>
  </si>
  <si>
    <t>Bậc lương</t>
  </si>
  <si>
    <t xml:space="preserve"> Mức lương hưởng theo bậc</t>
  </si>
  <si>
    <t>Tổng GĐ</t>
  </si>
  <si>
    <t>Phó tổng GĐ</t>
  </si>
  <si>
    <t>Kiến trúc sư</t>
  </si>
  <si>
    <t>Tỷ lệ hưởng lương (%)</t>
  </si>
  <si>
    <t>Kế toán viên</t>
  </si>
  <si>
    <t>Ghi chú</t>
  </si>
  <si>
    <t>Phụ trách bộ phận</t>
  </si>
  <si>
    <t>Phụ cấp</t>
  </si>
  <si>
    <t>Xăng xe</t>
  </si>
  <si>
    <t>Điện thoại</t>
  </si>
  <si>
    <t>Thực lĩnh</t>
  </si>
  <si>
    <t>CV Kinh doanh</t>
  </si>
  <si>
    <t>Kỹ sư XD</t>
  </si>
  <si>
    <t>Kỹ sư ĐC</t>
  </si>
  <si>
    <t>Tổng giám đốc</t>
  </si>
  <si>
    <t>Hệ số hoàn thành nhiệm vụ</t>
  </si>
  <si>
    <t>Tiền lương công việc</t>
  </si>
  <si>
    <t xml:space="preserve"> </t>
  </si>
  <si>
    <t>Số ngày làm việc trong tháng</t>
  </si>
  <si>
    <t>Số ngày hưởng lương phép</t>
  </si>
  <si>
    <t>Số ngày làm việc thực tế</t>
  </si>
  <si>
    <t>Các khoản giảm trừ</t>
  </si>
  <si>
    <t>Mức lương đóng BHXH</t>
  </si>
  <si>
    <t xml:space="preserve">Trừ BH (10.5%) </t>
  </si>
  <si>
    <t>(8)=[(5)+6)]/(7)</t>
  </si>
  <si>
    <t>(10) = (4)x(8)x(9)</t>
  </si>
  <si>
    <t>Phó phòng TC- TC-TH</t>
  </si>
  <si>
    <t>Phó phòng KH - ĐT</t>
  </si>
  <si>
    <t>HC - TH</t>
  </si>
  <si>
    <t>Tạp vụ</t>
  </si>
  <si>
    <t>KPCĐ</t>
  </si>
  <si>
    <t>Số ngày làm thêm giờ</t>
  </si>
  <si>
    <t>Tiền lương làm thêm giờ</t>
  </si>
  <si>
    <t>Tổng tiền lương được nhận</t>
  </si>
  <si>
    <t>(13)=(11)+(12)</t>
  </si>
  <si>
    <t>(21)= (13)+(14)+ (15)+(16)-(18)-(19)-(20)</t>
  </si>
  <si>
    <t>Bằng chữ</t>
  </si>
  <si>
    <t>(12) = (4)x(11)/(7)</t>
  </si>
  <si>
    <t>Một trăm mười hai triệu sáu trăm bốn mươi lăm ngàn bốn trăm ba mươi lăm đồng./.</t>
  </si>
  <si>
    <t>Tổng TN</t>
  </si>
  <si>
    <t>Tổng TN CNCT</t>
  </si>
  <si>
    <t>T11</t>
  </si>
  <si>
    <t>Một trăm mười sáu triệu hai trăm ba mươi chín ngan bốn trăm bảy mươi ba đồng</t>
  </si>
  <si>
    <t>Tháng 11 năm 20</t>
  </si>
  <si>
    <t>Tháng 12 năm 20</t>
  </si>
  <si>
    <t>CÔNG TY CP ĐẦU TƯ PHÁT TRIỂN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</si>
</sst>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_);_(* \(#,##0\);_(* &quot;-&quot;??_);_(@_)"/>
    <numFmt numFmtId="166" formatCode="_(* #,##0_);_(* \(#,##0\);_(* &quot;-&quot;?_);_(@_)"/>
  </numFmts>
  <fonts count="12" x14ac:knownFonts="1">
    <font>
      <sz val="14"/>
      <name val="Times New Roman"/>
    </font>
    <font>
      <b/>
      <sz val="12"/>
      <name val="Times New Roman"/>
      <family val="1"/>
    </font>
    <font>
      <b/>
      <sz val="18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sz val="14"/>
      <name val="Times New Roman"/>
      <family val="1"/>
    </font>
    <font>
      <b/>
      <sz val="15"/>
      <name val="Times New Roman"/>
      <family val="1"/>
    </font>
    <font>
      <sz val="15"/>
      <name val="Times New Roman"/>
      <family val="1"/>
    </font>
    <font>
      <sz val="12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  <font>
      <b/>
      <i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0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3" fillId="0" borderId="0" xfId="0" applyFont="1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/>
    <xf numFmtId="0" fontId="0" fillId="0" borderId="0" xfId="0" applyFill="1" applyBorder="1" applyAlignment="1">
      <alignment horizontal="left" vertical="center" wrapText="1"/>
    </xf>
    <xf numFmtId="0" fontId="3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Border="1"/>
    <xf numFmtId="0" fontId="7" fillId="0" borderId="0" xfId="0" applyFont="1" applyBorder="1"/>
    <xf numFmtId="0" fontId="6" fillId="0" borderId="0" xfId="0" applyFont="1"/>
    <xf numFmtId="0" fontId="3" fillId="0" borderId="0" xfId="0" applyFont="1" applyAlignment="1"/>
    <xf numFmtId="0" fontId="4" fillId="0" borderId="0" xfId="0" applyFont="1" applyFill="1" applyBorder="1" applyAlignment="1">
      <alignment vertical="center" wrapText="1"/>
    </xf>
    <xf numFmtId="0" fontId="8" fillId="0" borderId="1" xfId="0" applyFont="1" applyBorder="1"/>
    <xf numFmtId="0" fontId="9" fillId="0" borderId="1" xfId="0" applyFont="1" applyBorder="1" applyAlignment="1">
      <alignment horizontal="center" vertical="top" wrapText="1"/>
    </xf>
    <xf numFmtId="165" fontId="7" fillId="0" borderId="0" xfId="0" applyNumberFormat="1" applyFont="1"/>
    <xf numFmtId="37" fontId="1" fillId="0" borderId="2" xfId="0" applyNumberFormat="1" applyFont="1" applyBorder="1" applyAlignment="1">
      <alignment horizontal="center" vertical="center" wrapText="1"/>
    </xf>
    <xf numFmtId="0" fontId="8" fillId="0" borderId="0" xfId="0" applyFont="1"/>
    <xf numFmtId="165" fontId="10" fillId="0" borderId="0" xfId="0" applyNumberFormat="1" applyFont="1" applyFill="1" applyBorder="1" applyAlignment="1">
      <alignment vertical="center" wrapText="1"/>
    </xf>
    <xf numFmtId="165" fontId="10" fillId="0" borderId="0" xfId="0" applyNumberFormat="1" applyFont="1" applyBorder="1" applyAlignment="1">
      <alignment wrapText="1"/>
    </xf>
    <xf numFmtId="165" fontId="10" fillId="0" borderId="0" xfId="1" applyNumberFormat="1" applyFont="1" applyBorder="1" applyAlignment="1">
      <alignment wrapText="1"/>
    </xf>
    <xf numFmtId="165" fontId="6" fillId="0" borderId="0" xfId="0" applyNumberFormat="1" applyFont="1" applyBorder="1"/>
    <xf numFmtId="165" fontId="1" fillId="0" borderId="0" xfId="1" applyNumberFormat="1" applyFont="1"/>
    <xf numFmtId="9" fontId="1" fillId="0" borderId="0" xfId="0" applyNumberFormat="1" applyFont="1"/>
    <xf numFmtId="165" fontId="6" fillId="0" borderId="0" xfId="1" applyNumberFormat="1" applyFont="1" applyBorder="1" applyAlignment="1">
      <alignment horizontal="center" vertical="center" wrapText="1"/>
    </xf>
    <xf numFmtId="9" fontId="6" fillId="0" borderId="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9" fontId="8" fillId="0" borderId="1" xfId="0" applyNumberFormat="1" applyFont="1" applyFill="1" applyBorder="1" applyAlignment="1">
      <alignment horizontal="center" vertical="center"/>
    </xf>
    <xf numFmtId="9" fontId="8" fillId="0" borderId="2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Fill="1" applyBorder="1" applyAlignment="1">
      <alignment horizontal="left" vertical="center" wrapText="1"/>
    </xf>
    <xf numFmtId="165" fontId="5" fillId="0" borderId="0" xfId="0" applyNumberFormat="1" applyFont="1"/>
    <xf numFmtId="0" fontId="5" fillId="0" borderId="0" xfId="0" quotePrefix="1" applyFont="1" applyFill="1" applyBorder="1" applyAlignment="1">
      <alignment horizontal="left" vertical="center" wrapText="1"/>
    </xf>
    <xf numFmtId="0" fontId="1" fillId="0" borderId="4" xfId="0" applyFont="1" applyBorder="1"/>
    <xf numFmtId="0" fontId="5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165" fontId="8" fillId="0" borderId="1" xfId="1" applyNumberFormat="1" applyFont="1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165" fontId="8" fillId="0" borderId="2" xfId="1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64" fontId="8" fillId="0" borderId="2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65" fontId="8" fillId="0" borderId="2" xfId="1" applyNumberFormat="1" applyFont="1" applyFill="1" applyBorder="1" applyAlignment="1">
      <alignment horizontal="center" vertical="center"/>
    </xf>
    <xf numFmtId="164" fontId="8" fillId="0" borderId="2" xfId="1" applyFont="1" applyFill="1" applyBorder="1" applyAlignment="1">
      <alignment horizontal="center" vertical="center"/>
    </xf>
    <xf numFmtId="165" fontId="8" fillId="0" borderId="1" xfId="0" applyNumberFormat="1" applyFont="1" applyFill="1" applyBorder="1" applyAlignment="1">
      <alignment horizontal="center" vertical="center" wrapText="1"/>
    </xf>
    <xf numFmtId="165" fontId="8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/>
    <xf numFmtId="0" fontId="7" fillId="0" borderId="0" xfId="0" applyFont="1" applyFill="1"/>
    <xf numFmtId="9" fontId="7" fillId="0" borderId="0" xfId="0" applyNumberFormat="1" applyFont="1" applyFill="1"/>
    <xf numFmtId="0" fontId="11" fillId="0" borderId="7" xfId="0" applyFont="1" applyBorder="1" applyAlignment="1"/>
    <xf numFmtId="166" fontId="4" fillId="0" borderId="0" xfId="0" applyNumberFormat="1" applyFont="1" applyFill="1" applyBorder="1" applyAlignment="1">
      <alignment vertical="center" wrapText="1"/>
    </xf>
    <xf numFmtId="166" fontId="3" fillId="0" borderId="0" xfId="0" applyNumberFormat="1" applyFont="1" applyAlignment="1"/>
    <xf numFmtId="166" fontId="5" fillId="0" borderId="0" xfId="0" applyNumberFormat="1" applyFont="1"/>
    <xf numFmtId="165" fontId="8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4" fontId="1" fillId="0" borderId="1" xfId="1" applyFont="1" applyFill="1" applyBorder="1" applyAlignment="1">
      <alignment horizontal="center" vertical="center" wrapText="1"/>
    </xf>
    <xf numFmtId="165" fontId="1" fillId="0" borderId="1" xfId="1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 wrapText="1"/>
    </xf>
    <xf numFmtId="0" fontId="11" fillId="0" borderId="7" xfId="0" applyFont="1" applyFill="1" applyBorder="1" applyAlignment="1"/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quotePrefix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65" fontId="7" fillId="0" borderId="0" xfId="0" applyNumberFormat="1" applyFont="1" applyFill="1"/>
    <xf numFmtId="165" fontId="7" fillId="0" borderId="0" xfId="1" applyNumberFormat="1" applyFont="1" applyFill="1"/>
    <xf numFmtId="164" fontId="7" fillId="0" borderId="0" xfId="0" applyNumberFormat="1" applyFont="1" applyFill="1"/>
    <xf numFmtId="165" fontId="7" fillId="0" borderId="0" xfId="1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quotePrefix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wrapText="1"/>
    </xf>
    <xf numFmtId="165" fontId="4" fillId="0" borderId="7" xfId="0" applyNumberFormat="1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7" xfId="0" applyFont="1" applyBorder="1" applyAlignment="1">
      <alignment horizontal="right" wrapText="1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740153</xdr:colOff>
      <xdr:row>3</xdr:row>
      <xdr:rowOff>38100</xdr:rowOff>
    </xdr:from>
    <xdr:to>
      <xdr:col>3</xdr:col>
      <xdr:colOff>425828</xdr:colOff>
      <xdr:row>3</xdr:row>
      <xdr:rowOff>38100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130678" y="361950"/>
          <a:ext cx="1781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740153</xdr:colOff>
      <xdr:row>3</xdr:row>
      <xdr:rowOff>38100</xdr:rowOff>
    </xdr:from>
    <xdr:to>
      <xdr:col>3</xdr:col>
      <xdr:colOff>425828</xdr:colOff>
      <xdr:row>3</xdr:row>
      <xdr:rowOff>38100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130678" y="361950"/>
          <a:ext cx="1781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H61"/>
  <sheetViews>
    <sheetView zoomScale="70" zoomScaleNormal="70" workbookViewId="0">
      <pane xSplit="3" ySplit="8" topLeftCell="G12" activePane="bottomRight" state="frozen"/>
      <selection pane="topRight" activeCell="D1" sqref="D1"/>
      <selection pane="bottomLeft" activeCell="A7" sqref="A7"/>
      <selection pane="bottomRight" activeCell="J2" sqref="J2"/>
    </sheetView>
  </sheetViews>
  <sheetFormatPr defaultRowHeight="18.75" x14ac:dyDescent="0.3"/>
  <cols>
    <col min="1" max="1" width="4.5546875" customWidth="1"/>
    <col min="2" max="2" width="13.88671875" customWidth="1"/>
    <col min="3" max="3" width="10.5546875" customWidth="1"/>
    <col min="4" max="4" width="6.109375" customWidth="1"/>
    <col min="5" max="5" width="11.5546875" customWidth="1"/>
    <col min="6" max="6" width="7.77734375" customWidth="1"/>
    <col min="7" max="7" width="7.21875" customWidth="1"/>
    <col min="8" max="8" width="6.44140625" customWidth="1"/>
    <col min="9" max="9" width="6.33203125" customWidth="1"/>
    <col min="10" max="10" width="7" customWidth="1"/>
    <col min="11" max="11" width="11.5546875" customWidth="1"/>
    <col min="12" max="12" width="7.21875" customWidth="1"/>
    <col min="13" max="13" width="11.5546875" customWidth="1"/>
    <col min="14" max="14" width="12.77734375" customWidth="1"/>
    <col min="15" max="16" width="9.44140625" customWidth="1"/>
    <col min="17" max="17" width="9.88671875" customWidth="1"/>
    <col min="18" max="18" width="9.33203125" customWidth="1"/>
    <col min="19" max="19" width="11.5546875" customWidth="1"/>
    <col min="20" max="20" width="10" customWidth="1"/>
    <col min="21" max="21" width="9.109375" customWidth="1"/>
    <col min="22" max="22" width="13.88671875" customWidth="1"/>
    <col min="23" max="23" width="12.77734375" customWidth="1"/>
    <col min="24" max="24" width="13.77734375" hidden="1" customWidth="1"/>
    <col min="25" max="25" width="13.88671875" customWidth="1"/>
    <col min="26" max="26" width="14.109375" bestFit="1" customWidth="1"/>
    <col min="27" max="27" width="17.21875" customWidth="1"/>
    <col min="29" max="29" width="11.6640625" bestFit="1" customWidth="1"/>
    <col min="30" max="30" width="9.88671875" bestFit="1" customWidth="1"/>
    <col min="33" max="33" width="9.88671875" bestFit="1" customWidth="1"/>
    <col min="34" max="34" width="14.33203125" bestFit="1" customWidth="1"/>
  </cols>
  <sheetData>
    <row r="3" spans="1:34" s="1" customFormat="1" ht="25.5" customHeight="1" x14ac:dyDescent="0.3">
      <c r="A3" s="8" t="s">
        <v>57</v>
      </c>
    </row>
    <row r="4" spans="1:34" s="1" customFormat="1" ht="29.25" customHeight="1" x14ac:dyDescent="0.3">
      <c r="A4" s="103" t="s">
        <v>0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AA4" s="29">
        <v>5000000</v>
      </c>
      <c r="AB4" s="30">
        <v>0.05</v>
      </c>
      <c r="AC4" s="1">
        <f>AA4*AB4</f>
        <v>250000</v>
      </c>
    </row>
    <row r="5" spans="1:34" s="1" customFormat="1" ht="22.5" customHeight="1" x14ac:dyDescent="0.3">
      <c r="A5" s="101" t="s">
        <v>55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AA5" s="29">
        <v>5000000</v>
      </c>
      <c r="AB5" s="30">
        <v>0.1</v>
      </c>
      <c r="AC5" s="1">
        <f>AA5*AB5</f>
        <v>500000</v>
      </c>
    </row>
    <row r="6" spans="1:34" s="1" customFormat="1" ht="7.5" customHeight="1" x14ac:dyDescent="0.25">
      <c r="A6" s="2"/>
      <c r="AA6" s="29"/>
    </row>
    <row r="7" spans="1:34" s="13" customFormat="1" ht="18" customHeight="1" x14ac:dyDescent="0.25">
      <c r="A7" s="98" t="s">
        <v>1</v>
      </c>
      <c r="B7" s="98" t="s">
        <v>2</v>
      </c>
      <c r="C7" s="98" t="s">
        <v>3</v>
      </c>
      <c r="D7" s="98" t="s">
        <v>10</v>
      </c>
      <c r="E7" s="98" t="s">
        <v>11</v>
      </c>
      <c r="F7" s="98" t="s">
        <v>32</v>
      </c>
      <c r="G7" s="98" t="s">
        <v>31</v>
      </c>
      <c r="H7" s="98" t="s">
        <v>30</v>
      </c>
      <c r="I7" s="98" t="s">
        <v>15</v>
      </c>
      <c r="J7" s="98" t="s">
        <v>27</v>
      </c>
      <c r="K7" s="98" t="s">
        <v>28</v>
      </c>
      <c r="L7" s="98" t="s">
        <v>43</v>
      </c>
      <c r="M7" s="98" t="s">
        <v>44</v>
      </c>
      <c r="N7" s="98" t="s">
        <v>45</v>
      </c>
      <c r="O7" s="104" t="s">
        <v>19</v>
      </c>
      <c r="P7" s="105"/>
      <c r="Q7" s="105"/>
      <c r="R7" s="104" t="s">
        <v>33</v>
      </c>
      <c r="S7" s="105"/>
      <c r="T7" s="105"/>
      <c r="U7" s="106"/>
      <c r="V7" s="98" t="s">
        <v>22</v>
      </c>
      <c r="W7" s="98" t="s">
        <v>5</v>
      </c>
      <c r="X7" s="70" t="s">
        <v>17</v>
      </c>
      <c r="Y7" s="98" t="s">
        <v>17</v>
      </c>
      <c r="AA7" s="31">
        <v>2500000</v>
      </c>
      <c r="AB7" s="32">
        <v>0.15</v>
      </c>
      <c r="AC7" s="1">
        <f>AA7*AB7</f>
        <v>375000</v>
      </c>
    </row>
    <row r="8" spans="1:34" s="13" customFormat="1" ht="61.5" customHeight="1" x14ac:dyDescent="0.3">
      <c r="A8" s="99"/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70" t="s">
        <v>20</v>
      </c>
      <c r="P8" s="70" t="s">
        <v>4</v>
      </c>
      <c r="Q8" s="70" t="s">
        <v>21</v>
      </c>
      <c r="R8" s="33" t="s">
        <v>34</v>
      </c>
      <c r="S8" s="71" t="s">
        <v>35</v>
      </c>
      <c r="T8" s="71" t="s">
        <v>6</v>
      </c>
      <c r="U8" s="71" t="s">
        <v>42</v>
      </c>
      <c r="V8" s="99"/>
      <c r="W8" s="99"/>
      <c r="X8" s="71"/>
      <c r="Y8" s="99"/>
      <c r="AC8" s="13">
        <f>AC4+AC5+AC7</f>
        <v>1125000</v>
      </c>
    </row>
    <row r="9" spans="1:34" s="13" customFormat="1" ht="46.5" customHeight="1" x14ac:dyDescent="0.3">
      <c r="A9" s="70"/>
      <c r="B9" s="23">
        <v>-1</v>
      </c>
      <c r="C9" s="23">
        <v>-2</v>
      </c>
      <c r="D9" s="23">
        <v>-3</v>
      </c>
      <c r="E9" s="23">
        <v>-4</v>
      </c>
      <c r="F9" s="23">
        <v>-5</v>
      </c>
      <c r="G9" s="23">
        <v>-6</v>
      </c>
      <c r="H9" s="23">
        <v>-7</v>
      </c>
      <c r="I9" s="23" t="s">
        <v>36</v>
      </c>
      <c r="J9" s="23">
        <v>-9</v>
      </c>
      <c r="K9" s="70" t="s">
        <v>37</v>
      </c>
      <c r="L9" s="23">
        <v>-11</v>
      </c>
      <c r="M9" s="70" t="s">
        <v>49</v>
      </c>
      <c r="N9" s="70" t="s">
        <v>46</v>
      </c>
      <c r="O9" s="23">
        <v>-14</v>
      </c>
      <c r="P9" s="23">
        <v>-15</v>
      </c>
      <c r="Q9" s="23">
        <v>-16</v>
      </c>
      <c r="R9" s="23">
        <v>-17</v>
      </c>
      <c r="S9" s="23">
        <v>-18</v>
      </c>
      <c r="T9" s="23">
        <v>-19</v>
      </c>
      <c r="U9" s="23">
        <v>-20</v>
      </c>
      <c r="V9" s="70" t="s">
        <v>47</v>
      </c>
      <c r="W9" s="70"/>
      <c r="X9" s="77"/>
      <c r="Y9" s="70"/>
      <c r="AA9" s="84">
        <v>9000000</v>
      </c>
      <c r="AB9" s="85">
        <v>0</v>
      </c>
      <c r="AC9" s="85">
        <v>0</v>
      </c>
    </row>
    <row r="10" spans="1:34" s="57" customFormat="1" ht="42" customHeight="1" x14ac:dyDescent="0.3">
      <c r="A10" s="42">
        <v>1</v>
      </c>
      <c r="B10" s="43"/>
      <c r="C10" s="42" t="s">
        <v>12</v>
      </c>
      <c r="D10" s="42">
        <v>1</v>
      </c>
      <c r="E10" s="44">
        <v>25000000</v>
      </c>
      <c r="F10" s="44"/>
      <c r="G10" s="44"/>
      <c r="H10" s="44"/>
      <c r="I10" s="45">
        <v>1</v>
      </c>
      <c r="J10" s="42">
        <v>1</v>
      </c>
      <c r="K10" s="54">
        <f t="shared" ref="K10:K24" si="0">ROUND(E10*I10*J10,0)</f>
        <v>25000000</v>
      </c>
      <c r="L10" s="44"/>
      <c r="M10" s="54"/>
      <c r="N10" s="54">
        <f>K10+M10</f>
        <v>25000000</v>
      </c>
      <c r="O10" s="54"/>
      <c r="P10" s="54">
        <f>I10*550000</f>
        <v>550000</v>
      </c>
      <c r="Q10" s="54">
        <v>800000</v>
      </c>
      <c r="R10" s="54">
        <v>8680000</v>
      </c>
      <c r="S10" s="54">
        <f>ROUND(R10*10.5%,0)</f>
        <v>911400</v>
      </c>
      <c r="T10" s="54">
        <v>1650000</v>
      </c>
      <c r="U10" s="54">
        <f>R10*1%</f>
        <v>86800</v>
      </c>
      <c r="V10" s="54">
        <f>N10+O10+P10+Q10-S10-T10-U10</f>
        <v>23701800</v>
      </c>
      <c r="W10" s="42"/>
      <c r="X10" s="56"/>
      <c r="Y10" s="42"/>
      <c r="AA10" s="82">
        <v>5000000</v>
      </c>
      <c r="AB10" s="58">
        <v>0.05</v>
      </c>
      <c r="AC10" s="81">
        <f>AA10*AB10</f>
        <v>250000</v>
      </c>
    </row>
    <row r="11" spans="1:34" s="57" customFormat="1" ht="42" customHeight="1" x14ac:dyDescent="0.3">
      <c r="A11" s="42">
        <v>2</v>
      </c>
      <c r="B11" s="43"/>
      <c r="C11" s="42" t="s">
        <v>13</v>
      </c>
      <c r="D11" s="42">
        <v>1</v>
      </c>
      <c r="E11" s="44">
        <v>20000000</v>
      </c>
      <c r="F11" s="44"/>
      <c r="G11" s="44"/>
      <c r="H11" s="44"/>
      <c r="I11" s="45">
        <v>0.5</v>
      </c>
      <c r="J11" s="42">
        <v>1</v>
      </c>
      <c r="K11" s="54">
        <f t="shared" si="0"/>
        <v>10000000</v>
      </c>
      <c r="L11" s="44"/>
      <c r="M11" s="54"/>
      <c r="N11" s="54">
        <f t="shared" ref="N11:N24" si="1">K11+M11</f>
        <v>10000000</v>
      </c>
      <c r="O11" s="54"/>
      <c r="P11" s="54">
        <f>I11*550000</f>
        <v>275000</v>
      </c>
      <c r="Q11" s="54">
        <v>300000</v>
      </c>
      <c r="R11" s="54">
        <v>8120000</v>
      </c>
      <c r="S11" s="54"/>
      <c r="T11" s="54">
        <v>750000</v>
      </c>
      <c r="U11" s="54">
        <f t="shared" ref="U11:U24" si="2">R11*1%</f>
        <v>81200</v>
      </c>
      <c r="V11" s="54">
        <f>N11+O11+P11+Q11-S11-T11-U11</f>
        <v>9743800</v>
      </c>
      <c r="W11" s="42"/>
      <c r="X11" s="56"/>
      <c r="Y11" s="42"/>
      <c r="AA11" s="82">
        <v>5000000</v>
      </c>
      <c r="AB11" s="58">
        <v>0.1</v>
      </c>
      <c r="AC11" s="81">
        <f>AA11*AB11</f>
        <v>500000</v>
      </c>
    </row>
    <row r="12" spans="1:34" s="57" customFormat="1" ht="42" customHeight="1" x14ac:dyDescent="0.3">
      <c r="A12" s="42">
        <v>3</v>
      </c>
      <c r="B12" s="46"/>
      <c r="C12" s="42" t="s">
        <v>13</v>
      </c>
      <c r="D12" s="42">
        <v>1</v>
      </c>
      <c r="E12" s="47">
        <v>20000000</v>
      </c>
      <c r="F12" s="47"/>
      <c r="G12" s="47"/>
      <c r="H12" s="47"/>
      <c r="I12" s="35">
        <v>0.3</v>
      </c>
      <c r="J12" s="42">
        <v>1</v>
      </c>
      <c r="K12" s="54">
        <f t="shared" si="0"/>
        <v>6000000</v>
      </c>
      <c r="L12" s="47"/>
      <c r="M12" s="55"/>
      <c r="N12" s="54">
        <f t="shared" si="1"/>
        <v>6000000</v>
      </c>
      <c r="O12" s="55"/>
      <c r="P12" s="54">
        <f>I12*550000</f>
        <v>165000</v>
      </c>
      <c r="Q12" s="54">
        <v>180000</v>
      </c>
      <c r="R12" s="54"/>
      <c r="S12" s="54"/>
      <c r="T12" s="54">
        <v>350000</v>
      </c>
      <c r="U12" s="54">
        <f t="shared" si="2"/>
        <v>0</v>
      </c>
      <c r="V12" s="54">
        <f>N12+O12+P12+Q12-S12-T12-U12</f>
        <v>5995000</v>
      </c>
      <c r="W12" s="48"/>
      <c r="X12" s="56"/>
      <c r="Y12" s="48"/>
      <c r="AA12" s="82">
        <f>25000000-9000000-AA10-AA11</f>
        <v>6000000</v>
      </c>
      <c r="AB12" s="58">
        <v>0.15</v>
      </c>
      <c r="AC12" s="81">
        <f>AA12*AB12</f>
        <v>900000</v>
      </c>
    </row>
    <row r="13" spans="1:34" s="57" customFormat="1" ht="42" customHeight="1" x14ac:dyDescent="0.3">
      <c r="A13" s="42">
        <v>4</v>
      </c>
      <c r="B13" s="46"/>
      <c r="C13" s="48" t="s">
        <v>9</v>
      </c>
      <c r="D13" s="42">
        <v>1</v>
      </c>
      <c r="E13" s="47">
        <v>14000000</v>
      </c>
      <c r="F13" s="47"/>
      <c r="G13" s="47"/>
      <c r="H13" s="47"/>
      <c r="I13" s="35">
        <v>0.3</v>
      </c>
      <c r="J13" s="42">
        <v>1</v>
      </c>
      <c r="K13" s="54">
        <f t="shared" si="0"/>
        <v>4200000</v>
      </c>
      <c r="L13" s="47"/>
      <c r="M13" s="55"/>
      <c r="N13" s="54">
        <f t="shared" si="1"/>
        <v>4200000</v>
      </c>
      <c r="O13" s="55">
        <v>100000</v>
      </c>
      <c r="P13" s="54">
        <f>I13*550000</f>
        <v>165000</v>
      </c>
      <c r="Q13" s="54">
        <v>180000</v>
      </c>
      <c r="R13" s="54"/>
      <c r="S13" s="54"/>
      <c r="T13" s="54">
        <v>210000</v>
      </c>
      <c r="U13" s="54">
        <f t="shared" si="2"/>
        <v>0</v>
      </c>
      <c r="V13" s="54">
        <f>N13+O13+P13+Q13-S13-T13-U13</f>
        <v>4435000</v>
      </c>
      <c r="W13" s="48"/>
      <c r="X13" s="56"/>
      <c r="Y13" s="48"/>
      <c r="Z13" s="81"/>
      <c r="AA13" s="82"/>
      <c r="AB13" s="58">
        <v>0.2</v>
      </c>
      <c r="AC13" s="81">
        <f>AA13*AB13</f>
        <v>0</v>
      </c>
    </row>
    <row r="14" spans="1:34" s="57" customFormat="1" ht="42" customHeight="1" x14ac:dyDescent="0.3">
      <c r="A14" s="42">
        <v>5</v>
      </c>
      <c r="B14" s="46"/>
      <c r="C14" s="48" t="s">
        <v>16</v>
      </c>
      <c r="D14" s="42">
        <v>2</v>
      </c>
      <c r="E14" s="47">
        <v>8000000</v>
      </c>
      <c r="F14" s="47"/>
      <c r="G14" s="47"/>
      <c r="H14" s="47"/>
      <c r="I14" s="35">
        <v>0.2</v>
      </c>
      <c r="J14" s="42">
        <v>1</v>
      </c>
      <c r="K14" s="54">
        <f t="shared" si="0"/>
        <v>1600000</v>
      </c>
      <c r="L14" s="47"/>
      <c r="M14" s="55"/>
      <c r="N14" s="54">
        <f t="shared" si="1"/>
        <v>1600000</v>
      </c>
      <c r="O14" s="55">
        <v>100000</v>
      </c>
      <c r="P14" s="54">
        <f>I14*550000</f>
        <v>110000</v>
      </c>
      <c r="Q14" s="54"/>
      <c r="R14" s="54">
        <v>4200000</v>
      </c>
      <c r="S14" s="54"/>
      <c r="T14" s="54">
        <v>80000</v>
      </c>
      <c r="U14" s="54">
        <f t="shared" si="2"/>
        <v>42000</v>
      </c>
      <c r="V14" s="54">
        <f>N14+O14+P14+Q14-S14-T14-U14</f>
        <v>1688000</v>
      </c>
      <c r="W14" s="48"/>
      <c r="X14" s="56"/>
      <c r="Y14" s="48"/>
      <c r="AA14" s="82">
        <f>SUM(AA9:AA13)</f>
        <v>25000000</v>
      </c>
      <c r="AC14" s="81">
        <f>SUM(AC10:AC13)</f>
        <v>1650000</v>
      </c>
    </row>
    <row r="15" spans="1:34" s="57" customFormat="1" ht="42" customHeight="1" x14ac:dyDescent="0.3">
      <c r="A15" s="42">
        <v>6</v>
      </c>
      <c r="B15" s="46"/>
      <c r="C15" s="48" t="s">
        <v>23</v>
      </c>
      <c r="D15" s="49">
        <v>1</v>
      </c>
      <c r="E15" s="47">
        <v>7500000</v>
      </c>
      <c r="F15" s="50">
        <v>21.5</v>
      </c>
      <c r="G15" s="50"/>
      <c r="H15" s="47">
        <v>26</v>
      </c>
      <c r="I15" s="34">
        <f t="shared" ref="I15:I22" si="3">(F15+G15)/H15</f>
        <v>0.82692307692307687</v>
      </c>
      <c r="J15" s="42">
        <v>1</v>
      </c>
      <c r="K15" s="54">
        <f t="shared" si="0"/>
        <v>6201923</v>
      </c>
      <c r="L15" s="50"/>
      <c r="M15" s="55">
        <f>E15*L15/H15</f>
        <v>0</v>
      </c>
      <c r="N15" s="54">
        <f t="shared" si="1"/>
        <v>6201923</v>
      </c>
      <c r="O15" s="55">
        <v>100000</v>
      </c>
      <c r="P15" s="54">
        <f t="shared" ref="P15:P21" si="4">550000*F15/26</f>
        <v>454807.69230769231</v>
      </c>
      <c r="Q15" s="54"/>
      <c r="R15" s="54">
        <v>3990000</v>
      </c>
      <c r="S15" s="54">
        <f>ROUND(R15*10.5%,0)</f>
        <v>418950</v>
      </c>
      <c r="T15" s="54"/>
      <c r="U15" s="54">
        <f t="shared" si="2"/>
        <v>39900</v>
      </c>
      <c r="V15" s="54">
        <f t="shared" ref="V15:V24" si="5">N15+O15+P15+Q15-S15-T15-U15</f>
        <v>6297880.692307692</v>
      </c>
      <c r="W15" s="48"/>
      <c r="X15" s="56"/>
      <c r="Y15" s="48"/>
      <c r="AD15" s="57">
        <f>SUM(AD16:AD18)</f>
        <v>0</v>
      </c>
      <c r="AH15" s="82"/>
    </row>
    <row r="16" spans="1:34" s="57" customFormat="1" ht="42" customHeight="1" x14ac:dyDescent="0.3">
      <c r="A16" s="42">
        <v>7</v>
      </c>
      <c r="B16" s="46"/>
      <c r="C16" s="48" t="s">
        <v>23</v>
      </c>
      <c r="D16" s="42">
        <v>1</v>
      </c>
      <c r="E16" s="47">
        <v>7500000</v>
      </c>
      <c r="F16" s="50">
        <v>22</v>
      </c>
      <c r="G16" s="50"/>
      <c r="H16" s="47">
        <v>26</v>
      </c>
      <c r="I16" s="34">
        <f t="shared" si="3"/>
        <v>0.84615384615384615</v>
      </c>
      <c r="J16" s="42">
        <v>1</v>
      </c>
      <c r="K16" s="54">
        <f t="shared" si="0"/>
        <v>6346154</v>
      </c>
      <c r="L16" s="50"/>
      <c r="M16" s="55">
        <f>E16*L16/H16</f>
        <v>0</v>
      </c>
      <c r="N16" s="54">
        <f t="shared" si="1"/>
        <v>6346154</v>
      </c>
      <c r="O16" s="55">
        <v>100000</v>
      </c>
      <c r="P16" s="54">
        <f t="shared" si="4"/>
        <v>465384.61538461538</v>
      </c>
      <c r="Q16" s="54"/>
      <c r="R16" s="54">
        <v>3990000</v>
      </c>
      <c r="S16" s="54">
        <f>ROUND(R16*10.5%,0)</f>
        <v>418950</v>
      </c>
      <c r="T16" s="54"/>
      <c r="U16" s="54">
        <f t="shared" si="2"/>
        <v>39900</v>
      </c>
      <c r="V16" s="54">
        <f t="shared" si="5"/>
        <v>6452688.615384615</v>
      </c>
      <c r="W16" s="48"/>
      <c r="X16" s="56"/>
      <c r="Y16" s="48"/>
      <c r="AE16" s="58"/>
    </row>
    <row r="17" spans="1:34" s="57" customFormat="1" ht="42" customHeight="1" x14ac:dyDescent="0.3">
      <c r="A17" s="42">
        <v>8</v>
      </c>
      <c r="B17" s="46"/>
      <c r="C17" s="48" t="s">
        <v>14</v>
      </c>
      <c r="D17" s="42">
        <v>1</v>
      </c>
      <c r="E17" s="47">
        <v>7500000</v>
      </c>
      <c r="F17" s="50">
        <v>21</v>
      </c>
      <c r="G17" s="50">
        <v>1</v>
      </c>
      <c r="H17" s="47">
        <v>26</v>
      </c>
      <c r="I17" s="34">
        <f t="shared" si="3"/>
        <v>0.84615384615384615</v>
      </c>
      <c r="J17" s="42">
        <v>1</v>
      </c>
      <c r="K17" s="54">
        <f t="shared" si="0"/>
        <v>6346154</v>
      </c>
      <c r="L17" s="50"/>
      <c r="M17" s="55">
        <f>E17*L17/H17</f>
        <v>0</v>
      </c>
      <c r="N17" s="54">
        <f t="shared" si="1"/>
        <v>6346154</v>
      </c>
      <c r="O17" s="55">
        <v>100000</v>
      </c>
      <c r="P17" s="54">
        <f t="shared" si="4"/>
        <v>444230.76923076925</v>
      </c>
      <c r="Q17" s="54"/>
      <c r="R17" s="54">
        <v>3990000</v>
      </c>
      <c r="S17" s="54">
        <f>ROUND(R17*10.5%,0)</f>
        <v>418950</v>
      </c>
      <c r="T17" s="54"/>
      <c r="U17" s="54">
        <f t="shared" si="2"/>
        <v>39900</v>
      </c>
      <c r="V17" s="54">
        <f t="shared" si="5"/>
        <v>6431534.769230769</v>
      </c>
      <c r="W17" s="48"/>
      <c r="X17" s="56"/>
      <c r="Y17" s="48"/>
      <c r="AB17" s="58"/>
      <c r="AE17" s="58"/>
      <c r="AH17" s="82"/>
    </row>
    <row r="18" spans="1:34" s="57" customFormat="1" ht="42" customHeight="1" x14ac:dyDescent="0.3">
      <c r="A18" s="42">
        <v>9</v>
      </c>
      <c r="B18" s="46"/>
      <c r="C18" s="48" t="s">
        <v>25</v>
      </c>
      <c r="D18" s="42">
        <v>2</v>
      </c>
      <c r="E18" s="47">
        <v>8500000</v>
      </c>
      <c r="F18" s="50">
        <v>23</v>
      </c>
      <c r="G18" s="50"/>
      <c r="H18" s="47">
        <v>26</v>
      </c>
      <c r="I18" s="34">
        <f t="shared" si="3"/>
        <v>0.88461538461538458</v>
      </c>
      <c r="J18" s="42">
        <v>1</v>
      </c>
      <c r="K18" s="54">
        <f>ROUND(E18*I18*J18,0)</f>
        <v>7519231</v>
      </c>
      <c r="L18" s="50"/>
      <c r="M18" s="55">
        <f>E18*L18/H18</f>
        <v>0</v>
      </c>
      <c r="N18" s="54">
        <f>K18+M18</f>
        <v>7519231</v>
      </c>
      <c r="O18" s="55">
        <v>300000</v>
      </c>
      <c r="P18" s="54">
        <f t="shared" si="4"/>
        <v>486538.46153846156</v>
      </c>
      <c r="Q18" s="54">
        <v>300000</v>
      </c>
      <c r="R18" s="54">
        <v>4620000</v>
      </c>
      <c r="S18" s="54">
        <f>ROUND(R18*10.5%,0)</f>
        <v>485100</v>
      </c>
      <c r="T18" s="54"/>
      <c r="U18" s="54">
        <f t="shared" si="2"/>
        <v>46200</v>
      </c>
      <c r="V18" s="54">
        <f>N18+O18+P18+Q18-S18-T18-U18</f>
        <v>8074469.461538462</v>
      </c>
      <c r="W18" s="48"/>
      <c r="X18" s="56"/>
      <c r="Y18" s="48"/>
      <c r="AB18" s="58"/>
      <c r="AE18" s="58"/>
      <c r="AH18" s="82"/>
    </row>
    <row r="19" spans="1:34" s="57" customFormat="1" ht="42" customHeight="1" x14ac:dyDescent="0.3">
      <c r="A19" s="42">
        <v>10</v>
      </c>
      <c r="B19" s="46"/>
      <c r="C19" s="48" t="s">
        <v>24</v>
      </c>
      <c r="D19" s="42">
        <v>3</v>
      </c>
      <c r="E19" s="47">
        <v>9500000</v>
      </c>
      <c r="F19" s="50">
        <v>22</v>
      </c>
      <c r="G19" s="50"/>
      <c r="H19" s="47">
        <v>26</v>
      </c>
      <c r="I19" s="34">
        <f t="shared" si="3"/>
        <v>0.84615384615384615</v>
      </c>
      <c r="J19" s="42">
        <v>1</v>
      </c>
      <c r="K19" s="54">
        <f t="shared" si="0"/>
        <v>8038462</v>
      </c>
      <c r="L19" s="50"/>
      <c r="M19" s="55">
        <f>E19*L19/H19*200%</f>
        <v>0</v>
      </c>
      <c r="N19" s="54">
        <f>K19+M19</f>
        <v>8038462</v>
      </c>
      <c r="O19" s="55">
        <v>100000</v>
      </c>
      <c r="P19" s="54">
        <f t="shared" si="4"/>
        <v>465384.61538461538</v>
      </c>
      <c r="Q19" s="54"/>
      <c r="R19" s="54">
        <v>3990000</v>
      </c>
      <c r="S19" s="54">
        <f>ROUND(R19*10.5%,0)</f>
        <v>418950</v>
      </c>
      <c r="T19" s="54"/>
      <c r="U19" s="54">
        <f t="shared" si="2"/>
        <v>39900</v>
      </c>
      <c r="V19" s="54">
        <f t="shared" si="5"/>
        <v>8144996.615384616</v>
      </c>
      <c r="W19" s="48"/>
      <c r="X19" s="56"/>
      <c r="Y19" s="48"/>
      <c r="AB19" s="58"/>
      <c r="AE19" s="58"/>
      <c r="AH19" s="82">
        <f>AE19*AG19</f>
        <v>0</v>
      </c>
    </row>
    <row r="20" spans="1:34" s="57" customFormat="1" ht="42" customHeight="1" x14ac:dyDescent="0.3">
      <c r="A20" s="42">
        <v>11</v>
      </c>
      <c r="B20" s="46"/>
      <c r="C20" s="48" t="s">
        <v>38</v>
      </c>
      <c r="D20" s="42">
        <v>1</v>
      </c>
      <c r="E20" s="47">
        <v>11000000</v>
      </c>
      <c r="F20" s="50">
        <v>21</v>
      </c>
      <c r="G20" s="50"/>
      <c r="H20" s="47">
        <v>26</v>
      </c>
      <c r="I20" s="34">
        <f t="shared" si="3"/>
        <v>0.80769230769230771</v>
      </c>
      <c r="J20" s="42">
        <v>1</v>
      </c>
      <c r="K20" s="54">
        <f>ROUND(E20*I20*J20,0)</f>
        <v>8884615</v>
      </c>
      <c r="L20" s="50"/>
      <c r="M20" s="55">
        <f>E20*L20/H20</f>
        <v>0</v>
      </c>
      <c r="N20" s="54">
        <f t="shared" si="1"/>
        <v>8884615</v>
      </c>
      <c r="O20" s="55">
        <v>100000</v>
      </c>
      <c r="P20" s="54">
        <f t="shared" si="4"/>
        <v>444230.76923076925</v>
      </c>
      <c r="Q20" s="54">
        <v>300000</v>
      </c>
      <c r="R20" s="54">
        <v>4690000</v>
      </c>
      <c r="S20" s="54"/>
      <c r="T20" s="54"/>
      <c r="U20" s="54">
        <f t="shared" si="2"/>
        <v>46900</v>
      </c>
      <c r="V20" s="54">
        <f>N20+O20+P20+Q20-S20-T20-U20</f>
        <v>9681945.7692307699</v>
      </c>
      <c r="W20" s="48"/>
      <c r="X20" s="56"/>
      <c r="Y20" s="48"/>
      <c r="AB20" s="58"/>
      <c r="AE20" s="58"/>
      <c r="AH20" s="82"/>
    </row>
    <row r="21" spans="1:34" s="57" customFormat="1" ht="42" customHeight="1" x14ac:dyDescent="0.3">
      <c r="A21" s="42">
        <v>12</v>
      </c>
      <c r="B21" s="46"/>
      <c r="C21" s="48" t="s">
        <v>39</v>
      </c>
      <c r="D21" s="42">
        <v>1</v>
      </c>
      <c r="E21" s="47">
        <v>11000000</v>
      </c>
      <c r="F21" s="50">
        <v>23</v>
      </c>
      <c r="G21" s="50"/>
      <c r="H21" s="47">
        <v>26</v>
      </c>
      <c r="I21" s="34">
        <f t="shared" si="3"/>
        <v>0.88461538461538458</v>
      </c>
      <c r="J21" s="42">
        <v>1</v>
      </c>
      <c r="K21" s="54">
        <f t="shared" si="0"/>
        <v>9730769</v>
      </c>
      <c r="L21" s="50"/>
      <c r="M21" s="55">
        <f>E21*L21/H21</f>
        <v>0</v>
      </c>
      <c r="N21" s="54">
        <f t="shared" si="1"/>
        <v>9730769</v>
      </c>
      <c r="O21" s="55">
        <v>100000</v>
      </c>
      <c r="P21" s="54">
        <f t="shared" si="4"/>
        <v>486538.46153846156</v>
      </c>
      <c r="Q21" s="54">
        <v>300000</v>
      </c>
      <c r="R21" s="54">
        <v>4690000</v>
      </c>
      <c r="S21" s="54"/>
      <c r="T21" s="54">
        <f>(N21-9000000)*5%</f>
        <v>36538.450000000004</v>
      </c>
      <c r="U21" s="54">
        <f t="shared" si="2"/>
        <v>46900</v>
      </c>
      <c r="V21" s="54">
        <f t="shared" si="5"/>
        <v>10533869.011538463</v>
      </c>
      <c r="W21" s="48"/>
      <c r="X21" s="56"/>
      <c r="Y21" s="48"/>
      <c r="AA21" s="81">
        <f>K21-9000000</f>
        <v>730769</v>
      </c>
      <c r="AB21" s="58">
        <v>0.05</v>
      </c>
      <c r="AC21" s="83">
        <f>AA21*AB21</f>
        <v>36538.450000000004</v>
      </c>
      <c r="AE21" s="58"/>
      <c r="AH21" s="82"/>
    </row>
    <row r="22" spans="1:34" s="57" customFormat="1" ht="42" customHeight="1" x14ac:dyDescent="0.3">
      <c r="A22" s="42">
        <v>13</v>
      </c>
      <c r="B22" s="46"/>
      <c r="C22" s="48" t="s">
        <v>40</v>
      </c>
      <c r="D22" s="42">
        <v>1</v>
      </c>
      <c r="E22" s="47">
        <v>7000000</v>
      </c>
      <c r="F22" s="50">
        <v>21.5</v>
      </c>
      <c r="G22" s="50">
        <v>0.5</v>
      </c>
      <c r="H22" s="47">
        <v>26</v>
      </c>
      <c r="I22" s="34">
        <f t="shared" si="3"/>
        <v>0.84615384615384615</v>
      </c>
      <c r="J22" s="42">
        <v>1</v>
      </c>
      <c r="K22" s="54">
        <f t="shared" si="0"/>
        <v>5923077</v>
      </c>
      <c r="L22" s="50"/>
      <c r="M22" s="55">
        <f>E22*L22/H22</f>
        <v>0</v>
      </c>
      <c r="N22" s="54">
        <f t="shared" si="1"/>
        <v>5923077</v>
      </c>
      <c r="O22" s="55">
        <v>100000</v>
      </c>
      <c r="P22" s="54">
        <f>550000*F22/26</f>
        <v>454807.69230769231</v>
      </c>
      <c r="Q22" s="54"/>
      <c r="R22" s="54">
        <v>3990000</v>
      </c>
      <c r="S22" s="54">
        <f>ROUND(R22*10.5%,0)</f>
        <v>418950</v>
      </c>
      <c r="T22" s="54"/>
      <c r="U22" s="54">
        <f t="shared" si="2"/>
        <v>39900</v>
      </c>
      <c r="V22" s="54">
        <f t="shared" si="5"/>
        <v>6019034.692307692</v>
      </c>
      <c r="W22" s="48"/>
      <c r="X22" s="56"/>
      <c r="Y22" s="48"/>
      <c r="AB22" s="58"/>
      <c r="AE22" s="58"/>
      <c r="AH22" s="82"/>
    </row>
    <row r="23" spans="1:34" s="57" customFormat="1" ht="42" customHeight="1" x14ac:dyDescent="0.3">
      <c r="A23" s="42">
        <v>14</v>
      </c>
      <c r="B23" s="46"/>
      <c r="C23" s="51" t="s">
        <v>7</v>
      </c>
      <c r="D23" s="42">
        <v>1</v>
      </c>
      <c r="E23" s="52">
        <v>6000000</v>
      </c>
      <c r="F23" s="53"/>
      <c r="G23" s="50"/>
      <c r="H23" s="52"/>
      <c r="I23" s="34">
        <v>0.4</v>
      </c>
      <c r="J23" s="42">
        <v>1</v>
      </c>
      <c r="K23" s="54">
        <f t="shared" si="0"/>
        <v>2400000</v>
      </c>
      <c r="L23" s="50"/>
      <c r="M23" s="55"/>
      <c r="N23" s="54">
        <f t="shared" si="1"/>
        <v>2400000</v>
      </c>
      <c r="O23" s="55"/>
      <c r="P23" s="54">
        <f>I23*550000</f>
        <v>220000</v>
      </c>
      <c r="Q23" s="54"/>
      <c r="R23" s="54">
        <v>3920000</v>
      </c>
      <c r="S23" s="54"/>
      <c r="T23" s="54">
        <v>120000</v>
      </c>
      <c r="U23" s="54">
        <f t="shared" si="2"/>
        <v>39200</v>
      </c>
      <c r="V23" s="54">
        <f t="shared" si="5"/>
        <v>2460800</v>
      </c>
      <c r="W23" s="48"/>
      <c r="X23" s="56"/>
      <c r="Y23" s="48"/>
      <c r="AB23" s="58"/>
    </row>
    <row r="24" spans="1:34" s="57" customFormat="1" ht="63" customHeight="1" x14ac:dyDescent="0.3">
      <c r="A24" s="42">
        <v>15</v>
      </c>
      <c r="B24" s="46"/>
      <c r="C24" s="51" t="s">
        <v>41</v>
      </c>
      <c r="D24" s="42">
        <v>1</v>
      </c>
      <c r="E24" s="52">
        <v>4000000</v>
      </c>
      <c r="F24" s="53">
        <v>22</v>
      </c>
      <c r="G24" s="50"/>
      <c r="H24" s="47">
        <v>26</v>
      </c>
      <c r="I24" s="34">
        <f>(F24+G24)/H24</f>
        <v>0.84615384615384615</v>
      </c>
      <c r="J24" s="42">
        <v>1</v>
      </c>
      <c r="K24" s="54">
        <f t="shared" si="0"/>
        <v>3384615</v>
      </c>
      <c r="L24" s="50"/>
      <c r="M24" s="55"/>
      <c r="N24" s="54">
        <f t="shared" si="1"/>
        <v>3384615</v>
      </c>
      <c r="O24" s="55"/>
      <c r="P24" s="54"/>
      <c r="Q24" s="54"/>
      <c r="R24" s="52"/>
      <c r="S24" s="54"/>
      <c r="T24" s="54"/>
      <c r="U24" s="54">
        <f t="shared" si="2"/>
        <v>0</v>
      </c>
      <c r="V24" s="54">
        <f t="shared" si="5"/>
        <v>3384615</v>
      </c>
      <c r="W24" s="48"/>
      <c r="X24" s="56"/>
      <c r="Y24" s="48"/>
      <c r="AB24" s="58"/>
    </row>
    <row r="25" spans="1:34" s="57" customFormat="1" ht="27" customHeight="1" x14ac:dyDescent="0.3">
      <c r="A25" s="64"/>
      <c r="B25" s="64" t="s">
        <v>8</v>
      </c>
      <c r="C25" s="64"/>
      <c r="D25" s="64"/>
      <c r="E25" s="65">
        <f>SUM(E10:E24)</f>
        <v>166500000</v>
      </c>
      <c r="F25" s="65"/>
      <c r="G25" s="66"/>
      <c r="H25" s="67"/>
      <c r="I25" s="64"/>
      <c r="J25" s="64"/>
      <c r="K25" s="65">
        <f t="shared" ref="K25:Q25" si="6">SUM(K10:K24)</f>
        <v>111575000</v>
      </c>
      <c r="L25" s="66"/>
      <c r="M25" s="65">
        <f t="shared" si="6"/>
        <v>0</v>
      </c>
      <c r="N25" s="65">
        <f>SUM(N10:N24)</f>
        <v>111575000</v>
      </c>
      <c r="O25" s="65">
        <f t="shared" si="6"/>
        <v>1200000</v>
      </c>
      <c r="P25" s="65">
        <f t="shared" si="6"/>
        <v>5186923.076923077</v>
      </c>
      <c r="Q25" s="65">
        <f t="shared" si="6"/>
        <v>2360000</v>
      </c>
      <c r="R25" s="65"/>
      <c r="S25" s="65">
        <f>SUM(S10:S24)</f>
        <v>3491250</v>
      </c>
      <c r="T25" s="65">
        <f>SUM(T10:T24)</f>
        <v>3196538.45</v>
      </c>
      <c r="U25" s="65">
        <f>SUM(U10:U24)</f>
        <v>588700</v>
      </c>
      <c r="V25" s="65">
        <f>SUM(V10:V24)</f>
        <v>113045434.62692307</v>
      </c>
      <c r="W25" s="64"/>
      <c r="X25" s="68"/>
      <c r="Y25" s="64"/>
      <c r="Z25" s="81">
        <f>N25+O25+P25+Q25-S25-T25-U25</f>
        <v>113045434.62692307</v>
      </c>
      <c r="AA25" s="81">
        <f>Z25-V25</f>
        <v>0</v>
      </c>
    </row>
    <row r="26" spans="1:34" s="14" customFormat="1" ht="21" customHeight="1" x14ac:dyDescent="0.35">
      <c r="A26" s="102" t="s">
        <v>48</v>
      </c>
      <c r="B26" s="102"/>
      <c r="C26" s="69" t="s">
        <v>50</v>
      </c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78"/>
      <c r="R26" s="78"/>
      <c r="S26" s="78"/>
      <c r="T26" s="78"/>
      <c r="U26" s="78"/>
      <c r="V26" s="63">
        <f>K26+O26+P26+Q26-S26-T26-U26</f>
        <v>0</v>
      </c>
      <c r="W26" s="78"/>
      <c r="X26" s="21"/>
      <c r="Y26" s="78"/>
      <c r="Z26" s="22"/>
      <c r="AA26" s="22"/>
    </row>
    <row r="27" spans="1:34" s="14" customFormat="1" ht="19.5" customHeight="1" x14ac:dyDescent="0.3">
      <c r="A27" s="36"/>
      <c r="B27" s="37"/>
      <c r="C27" s="36"/>
      <c r="D27" s="36"/>
      <c r="E27" s="36"/>
      <c r="F27" s="36"/>
      <c r="G27" s="36"/>
      <c r="H27" s="36"/>
      <c r="I27" s="36"/>
      <c r="J27" s="36"/>
      <c r="K27" s="38"/>
      <c r="L27" s="36"/>
      <c r="M27" s="38"/>
      <c r="N27" s="38"/>
      <c r="O27" s="27"/>
      <c r="P27" s="26"/>
      <c r="Q27" s="24"/>
      <c r="R27" s="36"/>
      <c r="S27" s="38">
        <f>S25+U25</f>
        <v>4079950</v>
      </c>
      <c r="T27" s="36"/>
      <c r="U27" s="36"/>
      <c r="V27" s="36"/>
      <c r="W27" s="36"/>
      <c r="X27" s="20"/>
      <c r="Y27" s="36"/>
    </row>
    <row r="28" spans="1:34" s="15" customFormat="1" ht="20.25" customHeight="1" x14ac:dyDescent="0.3">
      <c r="A28" s="36"/>
      <c r="B28" s="39"/>
      <c r="C28" s="39"/>
      <c r="D28" s="39"/>
      <c r="E28" s="39"/>
      <c r="F28" s="39"/>
      <c r="G28" s="39"/>
      <c r="H28" s="39"/>
      <c r="I28" s="19"/>
      <c r="J28" s="19"/>
      <c r="K28" s="19"/>
      <c r="L28" s="39"/>
      <c r="M28" s="19"/>
      <c r="N28" s="19"/>
      <c r="O28" s="25"/>
      <c r="P28" s="25"/>
      <c r="Q28" s="25"/>
      <c r="R28" s="19"/>
      <c r="S28" s="60"/>
      <c r="T28" s="19"/>
      <c r="V28" s="100"/>
      <c r="W28" s="100"/>
      <c r="X28" s="40"/>
      <c r="Y28" s="28"/>
      <c r="Z28" s="28"/>
    </row>
    <row r="29" spans="1:34" s="16" customFormat="1" ht="18" customHeight="1" x14ac:dyDescent="0.3">
      <c r="A29" s="8"/>
      <c r="B29" s="72"/>
      <c r="C29" s="8"/>
      <c r="D29" s="8"/>
      <c r="E29" s="18" t="s">
        <v>9</v>
      </c>
      <c r="F29" s="18"/>
      <c r="G29" s="18"/>
      <c r="H29" s="18"/>
      <c r="I29" s="18"/>
      <c r="J29" s="18"/>
      <c r="K29" s="18"/>
      <c r="L29" s="18"/>
      <c r="M29" s="101" t="s">
        <v>18</v>
      </c>
      <c r="N29" s="101"/>
      <c r="O29" s="101"/>
      <c r="P29" s="101"/>
      <c r="R29" s="18"/>
      <c r="S29" s="61"/>
      <c r="T29" s="18"/>
      <c r="U29" s="18"/>
      <c r="V29" s="101" t="s">
        <v>26</v>
      </c>
      <c r="W29" s="101"/>
      <c r="X29" s="78"/>
      <c r="Y29" s="16" t="s">
        <v>29</v>
      </c>
    </row>
    <row r="30" spans="1:34" s="14" customFormat="1" ht="19.5" customHeight="1" x14ac:dyDescent="0.3">
      <c r="A30" s="36"/>
      <c r="B30" s="41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R30" s="36"/>
      <c r="S30" s="62"/>
      <c r="T30" s="36"/>
      <c r="U30" s="36"/>
      <c r="V30" s="36"/>
      <c r="W30" s="36"/>
      <c r="Y30" s="36"/>
      <c r="Z30" s="22"/>
    </row>
    <row r="31" spans="1:34" s="14" customFormat="1" ht="18.75" customHeight="1" x14ac:dyDescent="0.3">
      <c r="A31" s="36"/>
      <c r="B31" s="41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R31" s="36"/>
      <c r="S31" s="36"/>
      <c r="T31" s="36"/>
      <c r="U31" s="36"/>
      <c r="V31" s="36"/>
      <c r="W31" s="36"/>
      <c r="X31" s="73"/>
      <c r="Y31" s="36"/>
    </row>
    <row r="32" spans="1:34" s="17" customFormat="1" ht="24" customHeight="1" x14ac:dyDescent="0.3">
      <c r="A32" s="36"/>
      <c r="B32" s="41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R32" s="36"/>
      <c r="S32" s="36"/>
      <c r="T32" s="36"/>
      <c r="U32" s="36"/>
      <c r="V32" s="36"/>
      <c r="W32" s="36"/>
      <c r="Y32" s="36"/>
    </row>
    <row r="33" spans="1:25" s="14" customFormat="1" ht="19.5" x14ac:dyDescent="0.3">
      <c r="A33" s="36"/>
      <c r="B33" s="41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R33" s="36"/>
      <c r="S33" s="36"/>
      <c r="T33" s="36"/>
      <c r="U33" s="36"/>
      <c r="V33" s="36"/>
      <c r="W33" s="36"/>
      <c r="Y33" s="36"/>
    </row>
    <row r="34" spans="1:25" s="14" customFormat="1" ht="19.5" x14ac:dyDescent="0.3">
      <c r="A34" s="36"/>
      <c r="B34" s="72"/>
      <c r="C34" s="36"/>
      <c r="D34" s="36"/>
      <c r="E34" s="18"/>
      <c r="F34" s="18"/>
      <c r="G34" s="18"/>
      <c r="H34" s="18"/>
      <c r="I34" s="18"/>
      <c r="J34" s="18"/>
      <c r="K34" s="18"/>
      <c r="L34" s="18"/>
      <c r="M34" s="101"/>
      <c r="N34" s="101"/>
      <c r="O34" s="101"/>
      <c r="P34" s="101"/>
      <c r="R34" s="72"/>
      <c r="S34" s="36"/>
      <c r="T34" s="36"/>
      <c r="U34" s="36"/>
      <c r="V34" s="101"/>
      <c r="W34" s="101"/>
    </row>
    <row r="35" spans="1:25" s="14" customFormat="1" ht="34.5" customHeight="1" x14ac:dyDescent="0.3">
      <c r="A35" s="36"/>
      <c r="B35" s="72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Y35" s="36"/>
    </row>
    <row r="36" spans="1:25" s="14" customFormat="1" ht="19.5" x14ac:dyDescent="0.3">
      <c r="A36" s="36"/>
      <c r="B36" s="72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 t="s">
        <v>51</v>
      </c>
      <c r="N36" s="38" t="e">
        <f>N25+#REF!+#REF!</f>
        <v>#REF!</v>
      </c>
      <c r="O36" s="36"/>
      <c r="P36" s="36"/>
      <c r="Q36" s="36"/>
      <c r="R36" s="36"/>
      <c r="S36" s="36"/>
      <c r="T36" s="38" t="e">
        <f>T25+#REF!+#REF!</f>
        <v>#REF!</v>
      </c>
      <c r="U36" s="36"/>
      <c r="V36" s="36"/>
      <c r="W36" s="36"/>
      <c r="Y36" s="36"/>
    </row>
    <row r="37" spans="1:25" s="14" customFormat="1" ht="19.5" x14ac:dyDescent="0.3">
      <c r="A37" s="36"/>
      <c r="B37" s="72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 t="s">
        <v>52</v>
      </c>
      <c r="N37" s="38" t="e">
        <f>N38+#REF!+#REF!</f>
        <v>#REF!</v>
      </c>
      <c r="O37" s="36"/>
      <c r="P37" s="36"/>
      <c r="Q37" s="36"/>
      <c r="R37" s="36"/>
      <c r="S37" s="36"/>
      <c r="T37" s="36"/>
      <c r="U37" s="36"/>
      <c r="V37" s="38"/>
      <c r="W37" s="36"/>
      <c r="Y37" s="36"/>
    </row>
    <row r="38" spans="1:25" s="14" customFormat="1" ht="19.5" x14ac:dyDescent="0.3">
      <c r="A38" s="36"/>
      <c r="B38" s="8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 t="s">
        <v>53</v>
      </c>
      <c r="N38" s="38">
        <f>SUM(N10:N14)+N21+N23</f>
        <v>58930769</v>
      </c>
      <c r="O38" s="36"/>
      <c r="P38" s="36"/>
      <c r="Q38" s="36"/>
      <c r="R38" s="36"/>
      <c r="S38" s="36"/>
      <c r="T38" s="36"/>
      <c r="U38" s="36"/>
      <c r="V38" s="36"/>
      <c r="W38" s="36"/>
      <c r="Y38" s="36"/>
    </row>
    <row r="39" spans="1:25" s="14" customFormat="1" ht="19.5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Y39" s="9"/>
    </row>
    <row r="40" spans="1:25" ht="22.5" x14ac:dyDescent="0.3">
      <c r="A40" s="79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Y40" s="79"/>
    </row>
    <row r="41" spans="1:25" x14ac:dyDescent="0.3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Y41" s="80"/>
    </row>
    <row r="42" spans="1:25" x14ac:dyDescent="0.3">
      <c r="A42" s="10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Y42" s="9"/>
    </row>
    <row r="43" spans="1:25" x14ac:dyDescent="0.3">
      <c r="A43" s="74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Y43" s="74"/>
    </row>
    <row r="44" spans="1:25" ht="24.75" customHeight="1" x14ac:dyDescent="0.3">
      <c r="A44" s="74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Y44" s="74"/>
    </row>
    <row r="45" spans="1:25" ht="39.75" customHeight="1" x14ac:dyDescent="0.3">
      <c r="A45" s="74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Y45" s="74"/>
    </row>
    <row r="46" spans="1:25" ht="18.75" customHeight="1" x14ac:dyDescent="0.3">
      <c r="A46" s="4"/>
      <c r="B46" s="5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Y46" s="4"/>
    </row>
    <row r="47" spans="1:25" ht="33.75" customHeight="1" x14ac:dyDescent="0.3">
      <c r="A47" s="4"/>
      <c r="B47" s="5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Y47" s="4"/>
    </row>
    <row r="48" spans="1:25" x14ac:dyDescent="0.3">
      <c r="A48" s="76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Y48" s="76"/>
    </row>
    <row r="49" spans="1:25" ht="36" customHeight="1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Y49" s="6"/>
    </row>
    <row r="50" spans="1:25" ht="36" customHeight="1" x14ac:dyDescent="0.3">
      <c r="A50" s="6"/>
      <c r="B50" s="7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Y50" s="6"/>
    </row>
    <row r="51" spans="1:25" ht="29.25" customHeight="1" x14ac:dyDescent="0.3">
      <c r="A51" s="6"/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6"/>
      <c r="Y51" s="6"/>
    </row>
    <row r="52" spans="1:25" x14ac:dyDescent="0.3">
      <c r="A52" s="6"/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6"/>
      <c r="Y52" s="6"/>
    </row>
    <row r="53" spans="1:25" ht="18.75" hidden="1" customHeight="1" x14ac:dyDescent="0.3">
      <c r="A53" s="6"/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6"/>
      <c r="Y53" s="6"/>
    </row>
    <row r="54" spans="1:25" ht="18.75" hidden="1" customHeight="1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Y54" s="6"/>
    </row>
    <row r="55" spans="1:25" ht="18.75" hidden="1" customHeight="1" x14ac:dyDescent="0.3">
      <c r="A55" s="3"/>
      <c r="B55" s="1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Y55" s="3"/>
    </row>
    <row r="56" spans="1:25" ht="18.75" hidden="1" customHeight="1" x14ac:dyDescent="0.3">
      <c r="A56" s="6"/>
      <c r="B56" s="12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Y56" s="6"/>
    </row>
    <row r="57" spans="1:25" ht="44.25" customHeight="1" x14ac:dyDescent="0.3">
      <c r="A57" s="6"/>
      <c r="B57" s="12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Y57" s="6"/>
    </row>
    <row r="58" spans="1:25" s="8" customFormat="1" x14ac:dyDescent="0.3">
      <c r="A58" s="6"/>
      <c r="B58" s="12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Y58" s="6"/>
    </row>
    <row r="59" spans="1:25" x14ac:dyDescent="0.3">
      <c r="A59" s="6"/>
      <c r="B59" s="12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Y59" s="6"/>
    </row>
    <row r="60" spans="1:25" x14ac:dyDescent="0.3">
      <c r="A60" s="6"/>
      <c r="B60" s="12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Y60" s="6"/>
    </row>
    <row r="61" spans="1:25" x14ac:dyDescent="0.3">
      <c r="A61" s="6"/>
      <c r="B61" s="11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Y61" s="6"/>
    </row>
  </sheetData>
  <mergeCells count="27">
    <mergeCell ref="A4:Y4"/>
    <mergeCell ref="A5:Y5"/>
    <mergeCell ref="A7:A8"/>
    <mergeCell ref="B7:B8"/>
    <mergeCell ref="C7:C8"/>
    <mergeCell ref="D7:D8"/>
    <mergeCell ref="E7:E8"/>
    <mergeCell ref="F7:F8"/>
    <mergeCell ref="G7:G8"/>
    <mergeCell ref="H7:H8"/>
    <mergeCell ref="O7:Q7"/>
    <mergeCell ref="R7:U7"/>
    <mergeCell ref="V7:V8"/>
    <mergeCell ref="W7:W8"/>
    <mergeCell ref="Y7:Y8"/>
    <mergeCell ref="M7:M8"/>
    <mergeCell ref="A26:B26"/>
    <mergeCell ref="I7:I8"/>
    <mergeCell ref="J7:J8"/>
    <mergeCell ref="K7:K8"/>
    <mergeCell ref="L7:L8"/>
    <mergeCell ref="N7:N8"/>
    <mergeCell ref="V28:W28"/>
    <mergeCell ref="M29:P29"/>
    <mergeCell ref="V29:W29"/>
    <mergeCell ref="M34:P34"/>
    <mergeCell ref="V34:W34"/>
  </mergeCells>
  <printOptions horizontalCentered="1"/>
  <pageMargins left="0" right="0" top="0.22" bottom="0.23" header="0.28999999999999998" footer="0.21"/>
  <pageSetup paperSize="9" scale="5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H61"/>
  <sheetViews>
    <sheetView tabSelected="1" zoomScale="70" zoomScaleNormal="70" workbookViewId="0">
      <pane xSplit="3" ySplit="8" topLeftCell="G9" activePane="bottomRight" state="frozen"/>
      <selection pane="topRight" activeCell="D1" sqref="D1"/>
      <selection pane="bottomLeft" activeCell="A7" sqref="A7"/>
      <selection pane="bottomRight" activeCell="I2" sqref="I2"/>
    </sheetView>
  </sheetViews>
  <sheetFormatPr defaultRowHeight="18.75" x14ac:dyDescent="0.3"/>
  <cols>
    <col min="1" max="1" width="4.5546875" customWidth="1"/>
    <col min="2" max="2" width="13.88671875" customWidth="1"/>
    <col min="3" max="3" width="10.5546875" customWidth="1"/>
    <col min="4" max="4" width="6.109375" customWidth="1"/>
    <col min="5" max="5" width="11.5546875" customWidth="1"/>
    <col min="6" max="6" width="7.77734375" customWidth="1"/>
    <col min="7" max="7" width="7.21875" customWidth="1"/>
    <col min="8" max="8" width="6.44140625" customWidth="1"/>
    <col min="9" max="9" width="6.33203125" customWidth="1"/>
    <col min="10" max="10" width="7" customWidth="1"/>
    <col min="11" max="11" width="11.5546875" customWidth="1"/>
    <col min="12" max="12" width="7.21875" customWidth="1"/>
    <col min="13" max="13" width="11.5546875" customWidth="1"/>
    <col min="14" max="14" width="11.33203125" customWidth="1"/>
    <col min="15" max="17" width="9.44140625" customWidth="1"/>
    <col min="18" max="18" width="9.33203125" customWidth="1"/>
    <col min="19" max="19" width="11.109375" customWidth="1"/>
    <col min="20" max="20" width="9.6640625" customWidth="1"/>
    <col min="21" max="21" width="8.6640625" customWidth="1"/>
    <col min="22" max="22" width="11.6640625" customWidth="1"/>
    <col min="23" max="23" width="12.77734375" customWidth="1"/>
    <col min="24" max="24" width="13.77734375" hidden="1" customWidth="1"/>
    <col min="25" max="25" width="13.88671875" customWidth="1"/>
    <col min="26" max="26" width="14.109375" bestFit="1" customWidth="1"/>
    <col min="27" max="27" width="17.21875" customWidth="1"/>
    <col min="29" max="29" width="11.6640625" bestFit="1" customWidth="1"/>
    <col min="30" max="30" width="9.88671875" bestFit="1" customWidth="1"/>
    <col min="33" max="33" width="9.88671875" bestFit="1" customWidth="1"/>
    <col min="34" max="34" width="14.33203125" bestFit="1" customWidth="1"/>
  </cols>
  <sheetData>
    <row r="3" spans="1:34" s="1" customFormat="1" ht="25.5" customHeight="1" x14ac:dyDescent="0.3">
      <c r="A3" s="8" t="s">
        <v>57</v>
      </c>
    </row>
    <row r="4" spans="1:34" s="1" customFormat="1" ht="29.25" customHeight="1" x14ac:dyDescent="0.3">
      <c r="A4" s="103" t="s">
        <v>0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AA4" s="29">
        <v>5000000</v>
      </c>
      <c r="AB4" s="30">
        <v>0.05</v>
      </c>
      <c r="AC4" s="1">
        <f>AA4*AB4</f>
        <v>250000</v>
      </c>
    </row>
    <row r="5" spans="1:34" s="1" customFormat="1" ht="22.5" customHeight="1" x14ac:dyDescent="0.3">
      <c r="A5" s="101" t="s">
        <v>56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AA5" s="29">
        <v>5000000</v>
      </c>
      <c r="AB5" s="30">
        <v>0.1</v>
      </c>
      <c r="AC5" s="1">
        <f>AA5*AB5</f>
        <v>500000</v>
      </c>
    </row>
    <row r="6" spans="1:34" s="1" customFormat="1" ht="7.5" customHeight="1" x14ac:dyDescent="0.25">
      <c r="A6" s="2"/>
      <c r="AA6" s="29"/>
    </row>
    <row r="7" spans="1:34" s="13" customFormat="1" ht="18" customHeight="1" x14ac:dyDescent="0.25">
      <c r="A7" s="98" t="s">
        <v>1</v>
      </c>
      <c r="B7" s="98" t="s">
        <v>2</v>
      </c>
      <c r="C7" s="98" t="s">
        <v>3</v>
      </c>
      <c r="D7" s="98" t="s">
        <v>10</v>
      </c>
      <c r="E7" s="98" t="s">
        <v>11</v>
      </c>
      <c r="F7" s="98" t="s">
        <v>32</v>
      </c>
      <c r="G7" s="98" t="s">
        <v>31</v>
      </c>
      <c r="H7" s="98" t="s">
        <v>30</v>
      </c>
      <c r="I7" s="98" t="s">
        <v>15</v>
      </c>
      <c r="J7" s="98" t="s">
        <v>27</v>
      </c>
      <c r="K7" s="98" t="s">
        <v>28</v>
      </c>
      <c r="L7" s="98" t="s">
        <v>43</v>
      </c>
      <c r="M7" s="98" t="s">
        <v>44</v>
      </c>
      <c r="N7" s="98" t="s">
        <v>45</v>
      </c>
      <c r="O7" s="104" t="s">
        <v>19</v>
      </c>
      <c r="P7" s="105"/>
      <c r="Q7" s="105"/>
      <c r="R7" s="104" t="s">
        <v>33</v>
      </c>
      <c r="S7" s="105"/>
      <c r="T7" s="105"/>
      <c r="U7" s="106"/>
      <c r="V7" s="98" t="s">
        <v>22</v>
      </c>
      <c r="W7" s="98" t="s">
        <v>5</v>
      </c>
      <c r="X7" s="86" t="s">
        <v>17</v>
      </c>
      <c r="Y7" s="98" t="s">
        <v>17</v>
      </c>
      <c r="AA7" s="31">
        <v>2500000</v>
      </c>
      <c r="AB7" s="32">
        <v>0.15</v>
      </c>
      <c r="AC7" s="1">
        <f>AA7*AB7</f>
        <v>375000</v>
      </c>
    </row>
    <row r="8" spans="1:34" s="13" customFormat="1" ht="61.5" customHeight="1" x14ac:dyDescent="0.3">
      <c r="A8" s="99"/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86" t="s">
        <v>20</v>
      </c>
      <c r="P8" s="86" t="s">
        <v>4</v>
      </c>
      <c r="Q8" s="86" t="s">
        <v>21</v>
      </c>
      <c r="R8" s="33" t="s">
        <v>34</v>
      </c>
      <c r="S8" s="87" t="s">
        <v>35</v>
      </c>
      <c r="T8" s="87" t="s">
        <v>6</v>
      </c>
      <c r="U8" s="87" t="s">
        <v>42</v>
      </c>
      <c r="V8" s="99"/>
      <c r="W8" s="99"/>
      <c r="X8" s="87"/>
      <c r="Y8" s="99"/>
      <c r="AC8" s="13">
        <f>AC4+AC5+AC7</f>
        <v>1125000</v>
      </c>
    </row>
    <row r="9" spans="1:34" s="13" customFormat="1" ht="46.5" customHeight="1" x14ac:dyDescent="0.3">
      <c r="A9" s="86"/>
      <c r="B9" s="23">
        <v>-1</v>
      </c>
      <c r="C9" s="23">
        <v>-2</v>
      </c>
      <c r="D9" s="23">
        <v>-3</v>
      </c>
      <c r="E9" s="23">
        <v>-4</v>
      </c>
      <c r="F9" s="23">
        <v>-5</v>
      </c>
      <c r="G9" s="23">
        <v>-6</v>
      </c>
      <c r="H9" s="23">
        <v>-7</v>
      </c>
      <c r="I9" s="23" t="s">
        <v>36</v>
      </c>
      <c r="J9" s="23">
        <v>-9</v>
      </c>
      <c r="K9" s="86" t="s">
        <v>37</v>
      </c>
      <c r="L9" s="23">
        <v>-11</v>
      </c>
      <c r="M9" s="86" t="s">
        <v>49</v>
      </c>
      <c r="N9" s="86" t="s">
        <v>46</v>
      </c>
      <c r="O9" s="23">
        <v>-14</v>
      </c>
      <c r="P9" s="23">
        <v>-15</v>
      </c>
      <c r="Q9" s="23">
        <v>-16</v>
      </c>
      <c r="R9" s="23">
        <v>-17</v>
      </c>
      <c r="S9" s="23">
        <v>-18</v>
      </c>
      <c r="T9" s="23">
        <v>-19</v>
      </c>
      <c r="U9" s="23">
        <v>-20</v>
      </c>
      <c r="V9" s="86" t="s">
        <v>47</v>
      </c>
      <c r="W9" s="86"/>
      <c r="X9" s="95"/>
      <c r="Y9" s="86"/>
      <c r="AA9" s="84">
        <v>9000000</v>
      </c>
      <c r="AB9" s="85">
        <v>0</v>
      </c>
      <c r="AC9" s="85">
        <v>0</v>
      </c>
    </row>
    <row r="10" spans="1:34" s="57" customFormat="1" ht="42" customHeight="1" x14ac:dyDescent="0.3">
      <c r="A10" s="42">
        <v>1</v>
      </c>
      <c r="B10" s="43"/>
      <c r="C10" s="42" t="s">
        <v>12</v>
      </c>
      <c r="D10" s="42">
        <v>1</v>
      </c>
      <c r="E10" s="44">
        <v>25000000</v>
      </c>
      <c r="F10" s="44"/>
      <c r="G10" s="44"/>
      <c r="H10" s="44"/>
      <c r="I10" s="45">
        <v>1</v>
      </c>
      <c r="J10" s="42">
        <v>1</v>
      </c>
      <c r="K10" s="54">
        <f t="shared" ref="K10:K18" si="0">ROUND(E10*I10*J10,0)</f>
        <v>25000000</v>
      </c>
      <c r="L10" s="44"/>
      <c r="M10" s="54"/>
      <c r="N10" s="54">
        <f>K10+M10</f>
        <v>25000000</v>
      </c>
      <c r="O10" s="54"/>
      <c r="P10" s="54">
        <f>I10*550000</f>
        <v>550000</v>
      </c>
      <c r="Q10" s="54">
        <v>800000</v>
      </c>
      <c r="R10" s="54">
        <v>8680000</v>
      </c>
      <c r="S10" s="54">
        <f>ROUND(R10*10.5%,0)</f>
        <v>911400</v>
      </c>
      <c r="T10" s="54">
        <v>1650000</v>
      </c>
      <c r="U10" s="54">
        <f>R10*1%</f>
        <v>86800</v>
      </c>
      <c r="V10" s="54">
        <f t="shared" ref="V10:V24" si="1">N10+O10+P10+Q10-S10-T10-U10</f>
        <v>23701800</v>
      </c>
      <c r="W10" s="42"/>
      <c r="X10" s="56"/>
      <c r="Y10" s="42"/>
      <c r="AA10" s="82">
        <v>5000000</v>
      </c>
      <c r="AB10" s="58">
        <v>0.05</v>
      </c>
      <c r="AC10" s="81">
        <f>AA10*AB10</f>
        <v>250000</v>
      </c>
    </row>
    <row r="11" spans="1:34" s="57" customFormat="1" ht="42" customHeight="1" x14ac:dyDescent="0.3">
      <c r="A11" s="42">
        <v>2</v>
      </c>
      <c r="B11" s="43"/>
      <c r="C11" s="42" t="s">
        <v>13</v>
      </c>
      <c r="D11" s="42">
        <v>1</v>
      </c>
      <c r="E11" s="44">
        <v>20000000</v>
      </c>
      <c r="F11" s="44"/>
      <c r="G11" s="44"/>
      <c r="H11" s="44"/>
      <c r="I11" s="45">
        <v>0.5</v>
      </c>
      <c r="J11" s="42">
        <v>1</v>
      </c>
      <c r="K11" s="54">
        <f t="shared" si="0"/>
        <v>10000000</v>
      </c>
      <c r="L11" s="44"/>
      <c r="M11" s="54"/>
      <c r="N11" s="54">
        <f t="shared" ref="N11:N24" si="2">K11+M11</f>
        <v>10000000</v>
      </c>
      <c r="O11" s="54"/>
      <c r="P11" s="54">
        <f>I11*550000</f>
        <v>275000</v>
      </c>
      <c r="Q11" s="54">
        <v>300000</v>
      </c>
      <c r="R11" s="54">
        <v>8120000</v>
      </c>
      <c r="S11" s="54"/>
      <c r="T11" s="54">
        <v>750000</v>
      </c>
      <c r="U11" s="54">
        <f t="shared" ref="U11:U24" si="3">R11*1%</f>
        <v>81200</v>
      </c>
      <c r="V11" s="54">
        <f t="shared" si="1"/>
        <v>9743800</v>
      </c>
      <c r="W11" s="42"/>
      <c r="X11" s="56"/>
      <c r="Y11" s="42"/>
      <c r="AA11" s="82">
        <v>5000000</v>
      </c>
      <c r="AB11" s="58">
        <v>0.1</v>
      </c>
      <c r="AC11" s="81">
        <f>AA11*AB11</f>
        <v>500000</v>
      </c>
      <c r="AD11" s="57">
        <v>2000000</v>
      </c>
      <c r="AE11" s="57">
        <f>AD11*AB11</f>
        <v>200000</v>
      </c>
    </row>
    <row r="12" spans="1:34" s="57" customFormat="1" ht="42" customHeight="1" x14ac:dyDescent="0.3">
      <c r="A12" s="42">
        <v>3</v>
      </c>
      <c r="B12" s="46"/>
      <c r="C12" s="42" t="s">
        <v>13</v>
      </c>
      <c r="D12" s="42">
        <v>1</v>
      </c>
      <c r="E12" s="47">
        <v>20000000</v>
      </c>
      <c r="F12" s="47"/>
      <c r="G12" s="47"/>
      <c r="H12" s="47"/>
      <c r="I12" s="35">
        <v>0.3</v>
      </c>
      <c r="J12" s="42">
        <v>1</v>
      </c>
      <c r="K12" s="54">
        <f t="shared" si="0"/>
        <v>6000000</v>
      </c>
      <c r="L12" s="47"/>
      <c r="M12" s="55"/>
      <c r="N12" s="54">
        <f t="shared" si="2"/>
        <v>6000000</v>
      </c>
      <c r="O12" s="55"/>
      <c r="P12" s="54">
        <f>I12*550000</f>
        <v>165000</v>
      </c>
      <c r="Q12" s="54">
        <v>180000</v>
      </c>
      <c r="R12" s="54"/>
      <c r="S12" s="54"/>
      <c r="T12" s="54">
        <v>350000</v>
      </c>
      <c r="U12" s="54">
        <f t="shared" si="3"/>
        <v>0</v>
      </c>
      <c r="V12" s="54">
        <f t="shared" si="1"/>
        <v>5995000</v>
      </c>
      <c r="W12" s="48"/>
      <c r="X12" s="56"/>
      <c r="Y12" s="48"/>
      <c r="AA12" s="82">
        <f>25000000-9000000-AA10-AA11</f>
        <v>6000000</v>
      </c>
      <c r="AB12" s="58">
        <v>0.15</v>
      </c>
      <c r="AC12" s="81">
        <f>AA12*AB12</f>
        <v>900000</v>
      </c>
    </row>
    <row r="13" spans="1:34" s="57" customFormat="1" ht="42" customHeight="1" x14ac:dyDescent="0.3">
      <c r="A13" s="42">
        <v>4</v>
      </c>
      <c r="B13" s="46"/>
      <c r="C13" s="48" t="s">
        <v>9</v>
      </c>
      <c r="D13" s="42">
        <v>1</v>
      </c>
      <c r="E13" s="47">
        <v>14000000</v>
      </c>
      <c r="F13" s="47"/>
      <c r="G13" s="47"/>
      <c r="H13" s="47"/>
      <c r="I13" s="35">
        <v>0.5</v>
      </c>
      <c r="J13" s="42">
        <v>1</v>
      </c>
      <c r="K13" s="54">
        <f t="shared" si="0"/>
        <v>7000000</v>
      </c>
      <c r="L13" s="47"/>
      <c r="M13" s="55"/>
      <c r="N13" s="54">
        <f t="shared" si="2"/>
        <v>7000000</v>
      </c>
      <c r="O13" s="55">
        <v>100000</v>
      </c>
      <c r="P13" s="54">
        <f>I13*550000</f>
        <v>275000</v>
      </c>
      <c r="Q13" s="54">
        <f>I13*600000</f>
        <v>300000</v>
      </c>
      <c r="R13" s="54"/>
      <c r="S13" s="54"/>
      <c r="T13" s="54">
        <v>450000</v>
      </c>
      <c r="U13" s="54">
        <f t="shared" si="3"/>
        <v>0</v>
      </c>
      <c r="V13" s="54">
        <f t="shared" si="1"/>
        <v>7225000</v>
      </c>
      <c r="W13" s="48"/>
      <c r="X13" s="56"/>
      <c r="Y13" s="48"/>
      <c r="Z13" s="81"/>
      <c r="AA13" s="82"/>
      <c r="AB13" s="58">
        <v>0.2</v>
      </c>
      <c r="AC13" s="81">
        <f>AA13*AB13</f>
        <v>0</v>
      </c>
    </row>
    <row r="14" spans="1:34" s="57" customFormat="1" ht="42" customHeight="1" x14ac:dyDescent="0.3">
      <c r="A14" s="42">
        <v>5</v>
      </c>
      <c r="B14" s="46"/>
      <c r="C14" s="48" t="s">
        <v>16</v>
      </c>
      <c r="D14" s="42">
        <v>2</v>
      </c>
      <c r="E14" s="47">
        <v>8000000</v>
      </c>
      <c r="F14" s="47"/>
      <c r="G14" s="47"/>
      <c r="H14" s="47"/>
      <c r="I14" s="35">
        <v>0.3</v>
      </c>
      <c r="J14" s="42">
        <v>1</v>
      </c>
      <c r="K14" s="54">
        <f t="shared" si="0"/>
        <v>2400000</v>
      </c>
      <c r="L14" s="47"/>
      <c r="M14" s="55"/>
      <c r="N14" s="54">
        <f t="shared" si="2"/>
        <v>2400000</v>
      </c>
      <c r="O14" s="55">
        <v>100000</v>
      </c>
      <c r="P14" s="54">
        <f>I14*550000</f>
        <v>165000</v>
      </c>
      <c r="Q14" s="54"/>
      <c r="R14" s="54">
        <v>4200000</v>
      </c>
      <c r="S14" s="54"/>
      <c r="T14" s="54">
        <v>120000</v>
      </c>
      <c r="U14" s="54">
        <f t="shared" si="3"/>
        <v>42000</v>
      </c>
      <c r="V14" s="54">
        <f t="shared" si="1"/>
        <v>2503000</v>
      </c>
      <c r="W14" s="48"/>
      <c r="X14" s="56"/>
      <c r="Y14" s="48"/>
      <c r="AA14" s="82">
        <f>SUM(AA9:AA13)</f>
        <v>25000000</v>
      </c>
      <c r="AC14" s="81">
        <f>SUM(AC10:AC13)</f>
        <v>1650000</v>
      </c>
    </row>
    <row r="15" spans="1:34" s="57" customFormat="1" ht="42" customHeight="1" x14ac:dyDescent="0.3">
      <c r="A15" s="42">
        <v>6</v>
      </c>
      <c r="B15" s="46"/>
      <c r="C15" s="48" t="s">
        <v>23</v>
      </c>
      <c r="D15" s="49">
        <v>1</v>
      </c>
      <c r="E15" s="47">
        <v>7500000</v>
      </c>
      <c r="F15" s="50">
        <v>22</v>
      </c>
      <c r="G15" s="50"/>
      <c r="H15" s="47">
        <v>26</v>
      </c>
      <c r="I15" s="34">
        <f t="shared" ref="I15:I22" si="4">(F15+G15)/H15</f>
        <v>0.84615384615384615</v>
      </c>
      <c r="J15" s="42">
        <v>1</v>
      </c>
      <c r="K15" s="54">
        <f t="shared" si="0"/>
        <v>6346154</v>
      </c>
      <c r="L15" s="50"/>
      <c r="M15" s="55">
        <f>E15*L15/H15</f>
        <v>0</v>
      </c>
      <c r="N15" s="54">
        <f t="shared" si="2"/>
        <v>6346154</v>
      </c>
      <c r="O15" s="55">
        <v>100000</v>
      </c>
      <c r="P15" s="54">
        <f t="shared" ref="P15:P22" si="5">550000*F15/26</f>
        <v>465384.61538461538</v>
      </c>
      <c r="Q15" s="54"/>
      <c r="R15" s="54">
        <v>3990000</v>
      </c>
      <c r="S15" s="54">
        <f>ROUND(R15*10.5%,0)</f>
        <v>418950</v>
      </c>
      <c r="T15" s="54"/>
      <c r="U15" s="54">
        <f t="shared" si="3"/>
        <v>39900</v>
      </c>
      <c r="V15" s="54">
        <f t="shared" si="1"/>
        <v>6452688.615384615</v>
      </c>
      <c r="W15" s="48"/>
      <c r="X15" s="56"/>
      <c r="Y15" s="48"/>
      <c r="AD15" s="57">
        <f>SUM(AD16:AD18)</f>
        <v>0</v>
      </c>
      <c r="AH15" s="82"/>
    </row>
    <row r="16" spans="1:34" s="57" customFormat="1" ht="42" customHeight="1" x14ac:dyDescent="0.3">
      <c r="A16" s="42">
        <v>7</v>
      </c>
      <c r="B16" s="46"/>
      <c r="C16" s="48" t="s">
        <v>23</v>
      </c>
      <c r="D16" s="42">
        <v>1</v>
      </c>
      <c r="E16" s="47">
        <v>7500000</v>
      </c>
      <c r="F16" s="50">
        <v>22</v>
      </c>
      <c r="G16" s="50">
        <v>1</v>
      </c>
      <c r="H16" s="47">
        <v>26</v>
      </c>
      <c r="I16" s="34">
        <f t="shared" si="4"/>
        <v>0.88461538461538458</v>
      </c>
      <c r="J16" s="42">
        <v>1</v>
      </c>
      <c r="K16" s="54">
        <f t="shared" si="0"/>
        <v>6634615</v>
      </c>
      <c r="L16" s="50"/>
      <c r="M16" s="55">
        <f>E16*L16/H16</f>
        <v>0</v>
      </c>
      <c r="N16" s="54">
        <f t="shared" si="2"/>
        <v>6634615</v>
      </c>
      <c r="O16" s="55">
        <v>100000</v>
      </c>
      <c r="P16" s="54">
        <f t="shared" si="5"/>
        <v>465384.61538461538</v>
      </c>
      <c r="Q16" s="54"/>
      <c r="R16" s="54">
        <v>3990000</v>
      </c>
      <c r="S16" s="54">
        <f>ROUND(R16*10.5%,0)</f>
        <v>418950</v>
      </c>
      <c r="T16" s="54"/>
      <c r="U16" s="54">
        <f t="shared" si="3"/>
        <v>39900</v>
      </c>
      <c r="V16" s="54">
        <f t="shared" si="1"/>
        <v>6741149.615384615</v>
      </c>
      <c r="W16" s="48"/>
      <c r="X16" s="56"/>
      <c r="Y16" s="48"/>
      <c r="AE16" s="58"/>
    </row>
    <row r="17" spans="1:34" s="57" customFormat="1" ht="42" customHeight="1" x14ac:dyDescent="0.3">
      <c r="A17" s="42">
        <v>8</v>
      </c>
      <c r="B17" s="46"/>
      <c r="C17" s="48" t="s">
        <v>14</v>
      </c>
      <c r="D17" s="42">
        <v>1</v>
      </c>
      <c r="E17" s="47">
        <v>7500000</v>
      </c>
      <c r="F17" s="50">
        <v>21</v>
      </c>
      <c r="G17" s="50">
        <v>1</v>
      </c>
      <c r="H17" s="47">
        <v>26</v>
      </c>
      <c r="I17" s="34">
        <f t="shared" si="4"/>
        <v>0.84615384615384615</v>
      </c>
      <c r="J17" s="42">
        <v>1</v>
      </c>
      <c r="K17" s="54">
        <f t="shared" si="0"/>
        <v>6346154</v>
      </c>
      <c r="L17" s="50"/>
      <c r="M17" s="55">
        <f>E17*L17/H17</f>
        <v>0</v>
      </c>
      <c r="N17" s="54">
        <f t="shared" si="2"/>
        <v>6346154</v>
      </c>
      <c r="O17" s="55">
        <v>100000</v>
      </c>
      <c r="P17" s="54">
        <f t="shared" si="5"/>
        <v>444230.76923076925</v>
      </c>
      <c r="Q17" s="54"/>
      <c r="R17" s="54">
        <v>3990000</v>
      </c>
      <c r="S17" s="54">
        <f>ROUND(R17*10.5%,0)</f>
        <v>418950</v>
      </c>
      <c r="T17" s="54"/>
      <c r="U17" s="54">
        <f t="shared" si="3"/>
        <v>39900</v>
      </c>
      <c r="V17" s="54">
        <f t="shared" si="1"/>
        <v>6431534.769230769</v>
      </c>
      <c r="W17" s="48"/>
      <c r="X17" s="56"/>
      <c r="Y17" s="48"/>
      <c r="AB17" s="58"/>
      <c r="AE17" s="58"/>
      <c r="AH17" s="82"/>
    </row>
    <row r="18" spans="1:34" s="57" customFormat="1" ht="42" customHeight="1" x14ac:dyDescent="0.3">
      <c r="A18" s="42">
        <v>9</v>
      </c>
      <c r="B18" s="46"/>
      <c r="C18" s="48" t="s">
        <v>25</v>
      </c>
      <c r="D18" s="42">
        <v>2</v>
      </c>
      <c r="E18" s="47">
        <v>8500000</v>
      </c>
      <c r="F18" s="50">
        <v>22</v>
      </c>
      <c r="G18" s="50"/>
      <c r="H18" s="47">
        <v>26</v>
      </c>
      <c r="I18" s="34">
        <f t="shared" si="4"/>
        <v>0.84615384615384615</v>
      </c>
      <c r="J18" s="42">
        <v>1</v>
      </c>
      <c r="K18" s="54">
        <f t="shared" si="0"/>
        <v>7192308</v>
      </c>
      <c r="L18" s="50"/>
      <c r="M18" s="55">
        <f>E18*L18/H18</f>
        <v>0</v>
      </c>
      <c r="N18" s="54">
        <f>K18+M18</f>
        <v>7192308</v>
      </c>
      <c r="O18" s="55">
        <v>300000</v>
      </c>
      <c r="P18" s="54">
        <f t="shared" si="5"/>
        <v>465384.61538461538</v>
      </c>
      <c r="Q18" s="54">
        <v>300000</v>
      </c>
      <c r="R18" s="54">
        <v>4620000</v>
      </c>
      <c r="S18" s="54">
        <f>ROUND(R18*10.5%,0)</f>
        <v>485100</v>
      </c>
      <c r="T18" s="54"/>
      <c r="U18" s="54">
        <f t="shared" si="3"/>
        <v>46200</v>
      </c>
      <c r="V18" s="54">
        <f t="shared" si="1"/>
        <v>7726392.615384615</v>
      </c>
      <c r="W18" s="48"/>
      <c r="X18" s="56"/>
      <c r="Y18" s="48"/>
      <c r="AB18" s="58"/>
      <c r="AE18" s="58"/>
      <c r="AH18" s="82"/>
    </row>
    <row r="19" spans="1:34" s="57" customFormat="1" ht="42" customHeight="1" x14ac:dyDescent="0.3">
      <c r="A19" s="42">
        <v>10</v>
      </c>
      <c r="B19" s="46"/>
      <c r="C19" s="48" t="s">
        <v>24</v>
      </c>
      <c r="D19" s="42">
        <v>3</v>
      </c>
      <c r="E19" s="47">
        <v>9500000</v>
      </c>
      <c r="F19" s="50">
        <v>21</v>
      </c>
      <c r="G19" s="50"/>
      <c r="H19" s="47">
        <v>26</v>
      </c>
      <c r="I19" s="34">
        <f t="shared" si="4"/>
        <v>0.80769230769230771</v>
      </c>
      <c r="J19" s="42">
        <v>1</v>
      </c>
      <c r="K19" s="54">
        <f t="shared" ref="K19:K24" si="6">ROUND(E19*I19*J19,0)</f>
        <v>7673077</v>
      </c>
      <c r="L19" s="50"/>
      <c r="M19" s="55">
        <f>E19*L19/H19*200%</f>
        <v>0</v>
      </c>
      <c r="N19" s="54">
        <f>K19+M19</f>
        <v>7673077</v>
      </c>
      <c r="O19" s="55">
        <v>100000</v>
      </c>
      <c r="P19" s="54">
        <f t="shared" si="5"/>
        <v>444230.76923076925</v>
      </c>
      <c r="Q19" s="54"/>
      <c r="R19" s="54">
        <v>3990000</v>
      </c>
      <c r="S19" s="54">
        <f>ROUND(R19*10.5%,0)</f>
        <v>418950</v>
      </c>
      <c r="T19" s="54"/>
      <c r="U19" s="54">
        <f t="shared" si="3"/>
        <v>39900</v>
      </c>
      <c r="V19" s="54">
        <f t="shared" si="1"/>
        <v>7758457.769230769</v>
      </c>
      <c r="W19" s="48"/>
      <c r="X19" s="56"/>
      <c r="Y19" s="48"/>
      <c r="AB19" s="58"/>
      <c r="AE19" s="58"/>
      <c r="AH19" s="82">
        <f>AE19*AG19</f>
        <v>0</v>
      </c>
    </row>
    <row r="20" spans="1:34" s="57" customFormat="1" ht="42" customHeight="1" x14ac:dyDescent="0.3">
      <c r="A20" s="42">
        <v>11</v>
      </c>
      <c r="B20" s="46"/>
      <c r="C20" s="48" t="s">
        <v>38</v>
      </c>
      <c r="D20" s="42">
        <v>1</v>
      </c>
      <c r="E20" s="47">
        <v>11000000</v>
      </c>
      <c r="F20" s="50">
        <v>20.5</v>
      </c>
      <c r="G20" s="50"/>
      <c r="H20" s="47">
        <v>26</v>
      </c>
      <c r="I20" s="34">
        <f t="shared" si="4"/>
        <v>0.78846153846153844</v>
      </c>
      <c r="J20" s="42">
        <v>1</v>
      </c>
      <c r="K20" s="54">
        <f>ROUND(E20*I20*J20,0)</f>
        <v>8673077</v>
      </c>
      <c r="L20" s="50"/>
      <c r="M20" s="55">
        <f>E20*L20/H20</f>
        <v>0</v>
      </c>
      <c r="N20" s="54">
        <f t="shared" si="2"/>
        <v>8673077</v>
      </c>
      <c r="O20" s="55">
        <v>100000</v>
      </c>
      <c r="P20" s="54">
        <f t="shared" si="5"/>
        <v>433653.84615384613</v>
      </c>
      <c r="Q20" s="54">
        <v>300000</v>
      </c>
      <c r="R20" s="54">
        <v>4690000</v>
      </c>
      <c r="S20" s="54"/>
      <c r="T20" s="54"/>
      <c r="U20" s="54">
        <f t="shared" si="3"/>
        <v>46900</v>
      </c>
      <c r="V20" s="54">
        <f t="shared" si="1"/>
        <v>9459830.846153846</v>
      </c>
      <c r="W20" s="48"/>
      <c r="X20" s="56"/>
      <c r="Y20" s="48"/>
      <c r="AB20" s="58"/>
      <c r="AE20" s="58"/>
      <c r="AH20" s="82"/>
    </row>
    <row r="21" spans="1:34" s="57" customFormat="1" ht="42" customHeight="1" x14ac:dyDescent="0.3">
      <c r="A21" s="42">
        <v>12</v>
      </c>
      <c r="B21" s="46"/>
      <c r="C21" s="48" t="s">
        <v>39</v>
      </c>
      <c r="D21" s="42">
        <v>1</v>
      </c>
      <c r="E21" s="47">
        <v>11000000</v>
      </c>
      <c r="F21" s="50">
        <v>22</v>
      </c>
      <c r="G21" s="50">
        <v>2</v>
      </c>
      <c r="H21" s="47">
        <v>26</v>
      </c>
      <c r="I21" s="34">
        <f t="shared" si="4"/>
        <v>0.92307692307692313</v>
      </c>
      <c r="J21" s="42">
        <v>1</v>
      </c>
      <c r="K21" s="54">
        <f t="shared" si="6"/>
        <v>10153846</v>
      </c>
      <c r="L21" s="50"/>
      <c r="M21" s="55">
        <f>E21*L21/H21</f>
        <v>0</v>
      </c>
      <c r="N21" s="54">
        <f t="shared" si="2"/>
        <v>10153846</v>
      </c>
      <c r="O21" s="55">
        <v>100000</v>
      </c>
      <c r="P21" s="54">
        <f t="shared" si="5"/>
        <v>465384.61538461538</v>
      </c>
      <c r="Q21" s="54">
        <v>300000</v>
      </c>
      <c r="R21" s="54">
        <v>4690000</v>
      </c>
      <c r="S21" s="54"/>
      <c r="T21" s="54">
        <f>(N21-9000000)*5%</f>
        <v>57692.3</v>
      </c>
      <c r="U21" s="54">
        <f t="shared" si="3"/>
        <v>46900</v>
      </c>
      <c r="V21" s="54">
        <f t="shared" si="1"/>
        <v>10914638.315384615</v>
      </c>
      <c r="W21" s="48"/>
      <c r="X21" s="56"/>
      <c r="Y21" s="48"/>
      <c r="AA21" s="81">
        <f>K21-9000000</f>
        <v>1153846</v>
      </c>
      <c r="AB21" s="58">
        <v>0.05</v>
      </c>
      <c r="AC21" s="83">
        <f>AA21*AB21</f>
        <v>57692.3</v>
      </c>
      <c r="AE21" s="58"/>
      <c r="AH21" s="82"/>
    </row>
    <row r="22" spans="1:34" s="57" customFormat="1" ht="42" customHeight="1" x14ac:dyDescent="0.3">
      <c r="A22" s="42">
        <v>13</v>
      </c>
      <c r="B22" s="46"/>
      <c r="C22" s="48" t="s">
        <v>40</v>
      </c>
      <c r="D22" s="42">
        <v>1</v>
      </c>
      <c r="E22" s="47">
        <v>7000000</v>
      </c>
      <c r="F22" s="50">
        <v>21</v>
      </c>
      <c r="G22" s="50">
        <v>1</v>
      </c>
      <c r="H22" s="47">
        <v>26</v>
      </c>
      <c r="I22" s="34">
        <f t="shared" si="4"/>
        <v>0.84615384615384615</v>
      </c>
      <c r="J22" s="42">
        <v>1</v>
      </c>
      <c r="K22" s="54">
        <f t="shared" si="6"/>
        <v>5923077</v>
      </c>
      <c r="L22" s="50"/>
      <c r="M22" s="55">
        <f>E22*L22/H22</f>
        <v>0</v>
      </c>
      <c r="N22" s="54">
        <f t="shared" si="2"/>
        <v>5923077</v>
      </c>
      <c r="O22" s="55">
        <v>100000</v>
      </c>
      <c r="P22" s="54">
        <f t="shared" si="5"/>
        <v>444230.76923076925</v>
      </c>
      <c r="Q22" s="54"/>
      <c r="R22" s="54">
        <v>3990000</v>
      </c>
      <c r="S22" s="54">
        <f>ROUND(R22*10.5%,0)</f>
        <v>418950</v>
      </c>
      <c r="T22" s="54"/>
      <c r="U22" s="54">
        <f t="shared" si="3"/>
        <v>39900</v>
      </c>
      <c r="V22" s="54">
        <f t="shared" si="1"/>
        <v>6008457.769230769</v>
      </c>
      <c r="W22" s="48"/>
      <c r="X22" s="56"/>
      <c r="Y22" s="48"/>
      <c r="AB22" s="58"/>
      <c r="AE22" s="58"/>
      <c r="AH22" s="82"/>
    </row>
    <row r="23" spans="1:34" s="57" customFormat="1" ht="42" customHeight="1" x14ac:dyDescent="0.3">
      <c r="A23" s="42">
        <v>14</v>
      </c>
      <c r="B23" s="46"/>
      <c r="C23" s="51" t="s">
        <v>7</v>
      </c>
      <c r="D23" s="42">
        <v>1</v>
      </c>
      <c r="E23" s="52">
        <v>6000000</v>
      </c>
      <c r="F23" s="53"/>
      <c r="G23" s="50"/>
      <c r="H23" s="52"/>
      <c r="I23" s="34">
        <v>0.4</v>
      </c>
      <c r="J23" s="42">
        <v>1</v>
      </c>
      <c r="K23" s="54">
        <f t="shared" si="6"/>
        <v>2400000</v>
      </c>
      <c r="L23" s="50"/>
      <c r="M23" s="55"/>
      <c r="N23" s="54">
        <f t="shared" si="2"/>
        <v>2400000</v>
      </c>
      <c r="O23" s="55"/>
      <c r="P23" s="54">
        <f>I23*550000</f>
        <v>220000</v>
      </c>
      <c r="Q23" s="54"/>
      <c r="R23" s="54">
        <v>3920000</v>
      </c>
      <c r="S23" s="54"/>
      <c r="T23" s="54">
        <v>120000</v>
      </c>
      <c r="U23" s="54">
        <f t="shared" si="3"/>
        <v>39200</v>
      </c>
      <c r="V23" s="54">
        <f t="shared" si="1"/>
        <v>2460800</v>
      </c>
      <c r="W23" s="48"/>
      <c r="X23" s="56"/>
      <c r="Y23" s="48"/>
      <c r="AB23" s="58"/>
    </row>
    <row r="24" spans="1:34" s="57" customFormat="1" ht="63" customHeight="1" x14ac:dyDescent="0.3">
      <c r="A24" s="42">
        <v>15</v>
      </c>
      <c r="B24" s="46"/>
      <c r="C24" s="51" t="s">
        <v>41</v>
      </c>
      <c r="D24" s="42">
        <v>1</v>
      </c>
      <c r="E24" s="52">
        <v>4000000</v>
      </c>
      <c r="F24" s="53">
        <v>20</v>
      </c>
      <c r="G24" s="50"/>
      <c r="H24" s="47">
        <v>26</v>
      </c>
      <c r="I24" s="34">
        <f>(F24+G24)/H24</f>
        <v>0.76923076923076927</v>
      </c>
      <c r="J24" s="42">
        <v>1</v>
      </c>
      <c r="K24" s="54">
        <f t="shared" si="6"/>
        <v>3076923</v>
      </c>
      <c r="L24" s="50"/>
      <c r="M24" s="55"/>
      <c r="N24" s="54">
        <f t="shared" si="2"/>
        <v>3076923</v>
      </c>
      <c r="O24" s="55"/>
      <c r="P24" s="54"/>
      <c r="Q24" s="54"/>
      <c r="R24" s="52"/>
      <c r="S24" s="54"/>
      <c r="T24" s="54"/>
      <c r="U24" s="54">
        <f t="shared" si="3"/>
        <v>0</v>
      </c>
      <c r="V24" s="54">
        <f t="shared" si="1"/>
        <v>3076923</v>
      </c>
      <c r="W24" s="48"/>
      <c r="X24" s="56"/>
      <c r="Y24" s="48"/>
      <c r="AB24" s="58"/>
    </row>
    <row r="25" spans="1:34" s="57" customFormat="1" ht="27" customHeight="1" x14ac:dyDescent="0.3">
      <c r="A25" s="64"/>
      <c r="B25" s="64" t="s">
        <v>8</v>
      </c>
      <c r="C25" s="64"/>
      <c r="D25" s="64"/>
      <c r="E25" s="65">
        <f>SUM(E10:E24)</f>
        <v>166500000</v>
      </c>
      <c r="F25" s="65"/>
      <c r="G25" s="66"/>
      <c r="H25" s="67"/>
      <c r="I25" s="64"/>
      <c r="J25" s="64"/>
      <c r="K25" s="65">
        <f t="shared" ref="K25:Q25" si="7">SUM(K10:K24)</f>
        <v>114819231</v>
      </c>
      <c r="L25" s="66"/>
      <c r="M25" s="65">
        <f t="shared" si="7"/>
        <v>0</v>
      </c>
      <c r="N25" s="65">
        <f>SUM(N10:N24)</f>
        <v>114819231</v>
      </c>
      <c r="O25" s="65">
        <f t="shared" si="7"/>
        <v>1200000</v>
      </c>
      <c r="P25" s="65">
        <f t="shared" si="7"/>
        <v>5277884.615384615</v>
      </c>
      <c r="Q25" s="65">
        <f t="shared" si="7"/>
        <v>2480000</v>
      </c>
      <c r="R25" s="65"/>
      <c r="S25" s="65">
        <f>SUM(S10:S24)</f>
        <v>3491250</v>
      </c>
      <c r="T25" s="65">
        <f>SUM(T10:T24)</f>
        <v>3497692.3</v>
      </c>
      <c r="U25" s="65">
        <f>SUM(U10:U24)</f>
        <v>588700</v>
      </c>
      <c r="V25" s="65">
        <f>SUM(V10:V24)</f>
        <v>116199473.3153846</v>
      </c>
      <c r="W25" s="64"/>
      <c r="X25" s="68"/>
      <c r="Y25" s="64"/>
      <c r="Z25" s="81">
        <f>N25+O25+P25+Q25-S25-T25-U25</f>
        <v>116199473.31538461</v>
      </c>
      <c r="AA25" s="81">
        <f>Z25-V25</f>
        <v>0</v>
      </c>
    </row>
    <row r="26" spans="1:34" s="14" customFormat="1" ht="21" customHeight="1" x14ac:dyDescent="0.35">
      <c r="A26" s="102" t="s">
        <v>48</v>
      </c>
      <c r="B26" s="102"/>
      <c r="C26" s="69" t="s">
        <v>54</v>
      </c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96"/>
      <c r="R26" s="96"/>
      <c r="S26" s="97"/>
      <c r="T26" s="96"/>
      <c r="U26" s="96"/>
      <c r="V26" s="63"/>
      <c r="W26" s="96"/>
      <c r="X26" s="21"/>
      <c r="Y26" s="96"/>
      <c r="Z26" s="22"/>
      <c r="AA26" s="22"/>
    </row>
    <row r="27" spans="1:34" s="14" customFormat="1" ht="19.5" customHeight="1" x14ac:dyDescent="0.3">
      <c r="A27" s="36"/>
      <c r="B27" s="37"/>
      <c r="C27" s="36"/>
      <c r="D27" s="36"/>
      <c r="E27" s="36"/>
      <c r="F27" s="36"/>
      <c r="G27" s="36"/>
      <c r="H27" s="36"/>
      <c r="I27" s="36"/>
      <c r="J27" s="36"/>
      <c r="K27" s="38"/>
      <c r="L27" s="36"/>
      <c r="M27" s="38"/>
      <c r="N27" s="38"/>
      <c r="O27" s="27"/>
      <c r="P27" s="26"/>
      <c r="Q27" s="24"/>
      <c r="R27" s="36"/>
      <c r="S27" s="38"/>
      <c r="T27" s="36"/>
      <c r="U27" s="36"/>
      <c r="V27" s="36"/>
      <c r="W27" s="36"/>
      <c r="X27" s="20"/>
      <c r="Y27" s="36"/>
    </row>
    <row r="28" spans="1:34" s="15" customFormat="1" ht="20.25" customHeight="1" x14ac:dyDescent="0.3">
      <c r="A28" s="36"/>
      <c r="B28" s="39"/>
      <c r="C28" s="39"/>
      <c r="D28" s="39"/>
      <c r="E28" s="39"/>
      <c r="F28" s="39"/>
      <c r="G28" s="39"/>
      <c r="H28" s="39"/>
      <c r="I28" s="19"/>
      <c r="J28" s="19"/>
      <c r="K28" s="19"/>
      <c r="L28" s="39"/>
      <c r="M28" s="19"/>
      <c r="N28" s="19"/>
      <c r="O28" s="25"/>
      <c r="P28" s="25"/>
      <c r="Q28" s="25"/>
      <c r="R28" s="19"/>
      <c r="S28" s="60"/>
      <c r="T28" s="19"/>
      <c r="U28" s="100"/>
      <c r="V28" s="100"/>
      <c r="W28" s="100"/>
      <c r="X28" s="100"/>
      <c r="Y28" s="100"/>
      <c r="Z28" s="28"/>
    </row>
    <row r="29" spans="1:34" s="16" customFormat="1" ht="18" customHeight="1" x14ac:dyDescent="0.3">
      <c r="A29" s="8"/>
      <c r="B29" s="88"/>
      <c r="C29" s="8"/>
      <c r="D29" s="8"/>
      <c r="E29" s="18" t="s">
        <v>9</v>
      </c>
      <c r="F29" s="18"/>
      <c r="G29" s="18"/>
      <c r="H29" s="18"/>
      <c r="I29" s="18"/>
      <c r="J29" s="18"/>
      <c r="K29" s="18"/>
      <c r="L29" s="18"/>
      <c r="M29" s="101" t="s">
        <v>18</v>
      </c>
      <c r="N29" s="101"/>
      <c r="O29" s="101"/>
      <c r="P29" s="101"/>
      <c r="R29" s="18"/>
      <c r="S29" s="61"/>
      <c r="T29" s="18"/>
      <c r="U29" s="18"/>
      <c r="V29" s="101" t="s">
        <v>26</v>
      </c>
      <c r="W29" s="101"/>
      <c r="X29" s="96"/>
      <c r="Y29" s="16" t="s">
        <v>29</v>
      </c>
    </row>
    <row r="30" spans="1:34" s="14" customFormat="1" ht="19.5" customHeight="1" x14ac:dyDescent="0.3">
      <c r="A30" s="36"/>
      <c r="B30" s="41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R30" s="36"/>
      <c r="S30" s="62"/>
      <c r="T30" s="36"/>
      <c r="U30" s="36"/>
      <c r="V30" s="36"/>
      <c r="W30" s="36"/>
      <c r="Y30" s="36"/>
      <c r="Z30" s="22"/>
    </row>
    <row r="31" spans="1:34" s="14" customFormat="1" ht="18.75" customHeight="1" x14ac:dyDescent="0.3">
      <c r="A31" s="36"/>
      <c r="B31" s="41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R31" s="36"/>
      <c r="S31" s="36"/>
      <c r="T31" s="36"/>
      <c r="U31" s="36"/>
      <c r="V31" s="36"/>
      <c r="W31" s="36"/>
      <c r="X31" s="89"/>
      <c r="Y31" s="36"/>
    </row>
    <row r="32" spans="1:34" s="17" customFormat="1" ht="24" customHeight="1" x14ac:dyDescent="0.3">
      <c r="A32" s="36"/>
      <c r="B32" s="41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R32" s="36"/>
      <c r="S32" s="36"/>
      <c r="T32" s="36"/>
      <c r="U32" s="36"/>
      <c r="V32" s="36"/>
      <c r="W32" s="36"/>
      <c r="Y32" s="36"/>
    </row>
    <row r="33" spans="1:25" s="14" customFormat="1" ht="19.5" x14ac:dyDescent="0.3">
      <c r="A33" s="36"/>
      <c r="B33" s="41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R33" s="36"/>
      <c r="S33" s="36"/>
      <c r="T33" s="36"/>
      <c r="U33" s="36"/>
      <c r="V33" s="36"/>
      <c r="W33" s="36"/>
      <c r="Y33" s="36"/>
    </row>
    <row r="34" spans="1:25" s="14" customFormat="1" ht="19.5" x14ac:dyDescent="0.3">
      <c r="A34" s="36"/>
      <c r="B34" s="88"/>
      <c r="C34" s="36"/>
      <c r="D34" s="36"/>
      <c r="E34" s="18"/>
      <c r="F34" s="18"/>
      <c r="G34" s="18"/>
      <c r="H34" s="18"/>
      <c r="I34" s="18"/>
      <c r="J34" s="18"/>
      <c r="K34" s="18"/>
      <c r="L34" s="18"/>
      <c r="M34" s="101"/>
      <c r="N34" s="101"/>
      <c r="O34" s="101"/>
      <c r="P34" s="101"/>
      <c r="R34" s="88"/>
      <c r="S34" s="36"/>
      <c r="T34" s="36"/>
      <c r="U34" s="36"/>
      <c r="V34" s="101"/>
      <c r="W34" s="101"/>
    </row>
    <row r="35" spans="1:25" s="14" customFormat="1" ht="34.5" customHeight="1" x14ac:dyDescent="0.3">
      <c r="A35" s="36"/>
      <c r="B35" s="88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Y35" s="36"/>
    </row>
    <row r="36" spans="1:25" s="14" customFormat="1" ht="19.5" x14ac:dyDescent="0.3">
      <c r="A36" s="36"/>
      <c r="B36" s="88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Y36" s="36"/>
    </row>
    <row r="37" spans="1:25" s="14" customFormat="1" ht="19.5" x14ac:dyDescent="0.3">
      <c r="A37" s="36"/>
      <c r="B37" s="88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8"/>
      <c r="W37" s="36"/>
      <c r="Y37" s="36"/>
    </row>
    <row r="38" spans="1:25" s="14" customFormat="1" ht="19.5" x14ac:dyDescent="0.3">
      <c r="A38" s="36"/>
      <c r="B38" s="8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Y38" s="36"/>
    </row>
    <row r="39" spans="1:25" s="14" customFormat="1" ht="19.5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Y39" s="9"/>
    </row>
    <row r="40" spans="1:25" ht="22.5" x14ac:dyDescent="0.3">
      <c r="A40" s="93"/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Y40" s="93"/>
    </row>
    <row r="41" spans="1:25" x14ac:dyDescent="0.3">
      <c r="A41" s="94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Y41" s="94"/>
    </row>
    <row r="42" spans="1:25" x14ac:dyDescent="0.3">
      <c r="A42" s="10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Y42" s="9"/>
    </row>
    <row r="43" spans="1:25" x14ac:dyDescent="0.3">
      <c r="A43" s="90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Y43" s="90"/>
    </row>
    <row r="44" spans="1:25" ht="24.75" customHeight="1" x14ac:dyDescent="0.3">
      <c r="A44" s="90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Y44" s="90"/>
    </row>
    <row r="45" spans="1:25" ht="39.75" customHeight="1" x14ac:dyDescent="0.3">
      <c r="A45" s="90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Y45" s="90"/>
    </row>
    <row r="46" spans="1:25" ht="18.75" customHeight="1" x14ac:dyDescent="0.3">
      <c r="A46" s="4"/>
      <c r="B46" s="5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Y46" s="4"/>
    </row>
    <row r="47" spans="1:25" ht="33.75" customHeight="1" x14ac:dyDescent="0.3">
      <c r="A47" s="4"/>
      <c r="B47" s="5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Y47" s="4"/>
    </row>
    <row r="48" spans="1:25" x14ac:dyDescent="0.3">
      <c r="A48" s="92"/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Y48" s="92"/>
    </row>
    <row r="49" spans="1:25" ht="36" customHeight="1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Y49" s="6"/>
    </row>
    <row r="50" spans="1:25" ht="36" customHeight="1" x14ac:dyDescent="0.3">
      <c r="A50" s="6"/>
      <c r="B50" s="7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Y50" s="6"/>
    </row>
    <row r="51" spans="1:25" ht="29.25" customHeight="1" x14ac:dyDescent="0.3">
      <c r="A51" s="6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6"/>
      <c r="Y51" s="6"/>
    </row>
    <row r="52" spans="1:25" x14ac:dyDescent="0.3">
      <c r="A52" s="6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6"/>
      <c r="Y52" s="6"/>
    </row>
    <row r="53" spans="1:25" ht="18.75" hidden="1" customHeight="1" x14ac:dyDescent="0.3">
      <c r="A53" s="6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6"/>
      <c r="Y53" s="6"/>
    </row>
    <row r="54" spans="1:25" ht="18.75" hidden="1" customHeight="1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Y54" s="6"/>
    </row>
    <row r="55" spans="1:25" ht="18.75" hidden="1" customHeight="1" x14ac:dyDescent="0.3">
      <c r="A55" s="3"/>
      <c r="B55" s="1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Y55" s="3"/>
    </row>
    <row r="56" spans="1:25" ht="18.75" hidden="1" customHeight="1" x14ac:dyDescent="0.3">
      <c r="A56" s="6"/>
      <c r="B56" s="12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Y56" s="6"/>
    </row>
    <row r="57" spans="1:25" ht="44.25" customHeight="1" x14ac:dyDescent="0.3">
      <c r="A57" s="6"/>
      <c r="B57" s="12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Y57" s="6"/>
    </row>
    <row r="58" spans="1:25" s="8" customFormat="1" x14ac:dyDescent="0.3">
      <c r="A58" s="6"/>
      <c r="B58" s="12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Y58" s="6"/>
    </row>
    <row r="59" spans="1:25" x14ac:dyDescent="0.3">
      <c r="A59" s="6"/>
      <c r="B59" s="12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Y59" s="6"/>
    </row>
    <row r="60" spans="1:25" x14ac:dyDescent="0.3">
      <c r="A60" s="6"/>
      <c r="B60" s="12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Y60" s="6"/>
    </row>
    <row r="61" spans="1:25" x14ac:dyDescent="0.3">
      <c r="A61" s="6"/>
      <c r="B61" s="11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Y61" s="6"/>
    </row>
  </sheetData>
  <mergeCells count="27">
    <mergeCell ref="N7:N8"/>
    <mergeCell ref="M29:P29"/>
    <mergeCell ref="V29:W29"/>
    <mergeCell ref="M34:P34"/>
    <mergeCell ref="V34:W34"/>
    <mergeCell ref="U28:Y28"/>
    <mergeCell ref="A26:B26"/>
    <mergeCell ref="I7:I8"/>
    <mergeCell ref="J7:J8"/>
    <mergeCell ref="K7:K8"/>
    <mergeCell ref="L7:L8"/>
    <mergeCell ref="A4:Y4"/>
    <mergeCell ref="A5:Y5"/>
    <mergeCell ref="A7:A8"/>
    <mergeCell ref="B7:B8"/>
    <mergeCell ref="C7:C8"/>
    <mergeCell ref="D7:D8"/>
    <mergeCell ref="E7:E8"/>
    <mergeCell ref="F7:F8"/>
    <mergeCell ref="G7:G8"/>
    <mergeCell ref="H7:H8"/>
    <mergeCell ref="O7:Q7"/>
    <mergeCell ref="R7:U7"/>
    <mergeCell ref="V7:V8"/>
    <mergeCell ref="W7:W8"/>
    <mergeCell ref="Y7:Y8"/>
    <mergeCell ref="M7:M8"/>
  </mergeCells>
  <printOptions horizontalCentered="1"/>
  <pageMargins left="0" right="0" top="0.22" bottom="0.23" header="0.28999999999999998" footer="0.21"/>
  <pageSetup paperSize="9"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T11.2016</vt:lpstr>
      <vt:lpstr>T12.2016</vt:lpstr>
      <vt:lpstr>T11.2016!Print_Area</vt:lpstr>
      <vt:lpstr>T12.2016!Print_Area</vt:lpstr>
    </vt:vector>
  </TitlesOfParts>
  <Company>Mobile: 0988216058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PHONG</dc:creator>
  <cp:lastModifiedBy>luongphuc98@gmail.com</cp:lastModifiedBy>
  <cp:lastPrinted>2017-01-07T05:17:22Z</cp:lastPrinted>
  <dcterms:created xsi:type="dcterms:W3CDTF">2014-01-23T02:07:16Z</dcterms:created>
  <dcterms:modified xsi:type="dcterms:W3CDTF">2021-11-29T02:48:24Z</dcterms:modified>
</cp:coreProperties>
</file>